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320" windowHeight="9405" activeTab="2"/>
  </bookViews>
  <sheets>
    <sheet name="Huella de Carbono" sheetId="3" r:id="rId1"/>
    <sheet name="1.1. Usos suelo" sheetId="1" r:id="rId2"/>
    <sheet name="1.3. Funcionamiento" sheetId="2" r:id="rId3"/>
    <sheet name="2.2.2 Parques y jardines" sheetId="4" r:id="rId4"/>
    <sheet name="2.3 Viviendas" sheetId="5" r:id="rId5"/>
    <sheet name="2.4.2 Residuos" sheetId="6" r:id="rId6"/>
  </sheets>
  <calcPr calcId="145621"/>
</workbook>
</file>

<file path=xl/calcChain.xml><?xml version="1.0" encoding="utf-8"?>
<calcChain xmlns="http://schemas.openxmlformats.org/spreadsheetml/2006/main">
  <c r="H6" i="2" l="1"/>
  <c r="G6" i="2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04" i="3"/>
  <c r="D82" i="3"/>
  <c r="E72" i="3"/>
  <c r="H26" i="2"/>
  <c r="D24" i="2" s="1"/>
  <c r="C24" i="3" s="1"/>
  <c r="E24" i="3" s="1"/>
  <c r="E21" i="2"/>
  <c r="E20" i="2"/>
  <c r="E19" i="2"/>
  <c r="E14" i="2"/>
  <c r="E15" i="2"/>
  <c r="F15" i="2" s="1"/>
  <c r="E13" i="2"/>
  <c r="B21" i="2"/>
  <c r="J21" i="2" s="1"/>
  <c r="B20" i="2"/>
  <c r="J20" i="2" s="1"/>
  <c r="B19" i="2"/>
  <c r="J19" i="2" s="1"/>
  <c r="D21" i="2"/>
  <c r="F21" i="2" s="1"/>
  <c r="D20" i="2"/>
  <c r="D19" i="2"/>
  <c r="F19" i="2"/>
  <c r="D15" i="2"/>
  <c r="D14" i="2"/>
  <c r="F14" i="2" s="1"/>
  <c r="D13" i="2"/>
  <c r="F13" i="2" s="1"/>
  <c r="C13" i="2"/>
  <c r="B15" i="2"/>
  <c r="J15" i="2" s="1"/>
  <c r="B14" i="2"/>
  <c r="J14" i="2" s="1"/>
  <c r="B13" i="2"/>
  <c r="J13" i="2" s="1"/>
  <c r="F20" i="2"/>
  <c r="D7" i="3"/>
  <c r="G8" i="6"/>
  <c r="H8" i="6"/>
  <c r="G7" i="6"/>
  <c r="H7" i="6" s="1"/>
  <c r="G6" i="6"/>
  <c r="H6" i="6"/>
  <c r="G5" i="6"/>
  <c r="H5" i="6" s="1"/>
  <c r="H9" i="5"/>
  <c r="F20" i="5"/>
  <c r="G9" i="5"/>
  <c r="E20" i="5"/>
  <c r="H8" i="5"/>
  <c r="F19" i="5" s="1"/>
  <c r="G8" i="5"/>
  <c r="E19" i="5" s="1"/>
  <c r="H7" i="5"/>
  <c r="F18" i="5"/>
  <c r="G7" i="5"/>
  <c r="E18" i="5"/>
  <c r="H6" i="5"/>
  <c r="F17" i="5" s="1"/>
  <c r="G6" i="5"/>
  <c r="E17" i="5" s="1"/>
  <c r="H5" i="5"/>
  <c r="F16" i="5"/>
  <c r="G5" i="5"/>
  <c r="E16" i="5"/>
  <c r="E22" i="5" s="1"/>
  <c r="E26" i="5" s="1"/>
  <c r="D62" i="3" s="1"/>
  <c r="E62" i="3" s="1"/>
  <c r="G9" i="4"/>
  <c r="G8" i="4"/>
  <c r="G7" i="4"/>
  <c r="G6" i="4"/>
  <c r="G11" i="4" s="1"/>
  <c r="C95" i="3"/>
  <c r="E95" i="3"/>
  <c r="C90" i="3"/>
  <c r="E90" i="3" s="1"/>
  <c r="F85" i="3" s="1"/>
  <c r="E82" i="3"/>
  <c r="E57" i="3"/>
  <c r="E52" i="3"/>
  <c r="E41" i="3"/>
  <c r="E36" i="3"/>
  <c r="F31" i="3"/>
  <c r="E12" i="3"/>
  <c r="B6" i="2"/>
  <c r="D5" i="2"/>
  <c r="B5" i="2"/>
  <c r="G5" i="2" s="1"/>
  <c r="H5" i="2" s="1"/>
  <c r="D2" i="2" s="1"/>
  <c r="C18" i="3" s="1"/>
  <c r="E18" i="3" s="1"/>
  <c r="E7" i="3"/>
  <c r="G15" i="4" l="1"/>
  <c r="D49" i="3" s="1"/>
  <c r="F49" i="3" s="1"/>
  <c r="F43" i="3" s="1"/>
  <c r="G13" i="4"/>
  <c r="F22" i="5"/>
  <c r="F26" i="5" s="1"/>
  <c r="D65" i="3" s="1"/>
  <c r="E65" i="3" s="1"/>
  <c r="F59" i="3" s="1"/>
  <c r="E15" i="3"/>
  <c r="F2" i="3" s="1"/>
  <c r="H10" i="6"/>
  <c r="D77" i="3" s="1"/>
  <c r="E77" i="3" s="1"/>
  <c r="F67" i="3" s="1"/>
  <c r="D8" i="2"/>
  <c r="E21" i="3" s="1"/>
  <c r="F28" i="3" l="1"/>
</calcChain>
</file>

<file path=xl/sharedStrings.xml><?xml version="1.0" encoding="utf-8"?>
<sst xmlns="http://schemas.openxmlformats.org/spreadsheetml/2006/main" count="235" uniqueCount="149">
  <si>
    <t>(tCO2/ha)</t>
  </si>
  <si>
    <t>Chopera</t>
  </si>
  <si>
    <t>1.3.1 Suministro y tratamiento de agua</t>
  </si>
  <si>
    <t>1</t>
  </si>
  <si>
    <t>CÁLCULO DE EMISIONES</t>
  </si>
  <si>
    <t>Coníferas</t>
  </si>
  <si>
    <t>Cultivos herbáceos de regadío</t>
  </si>
  <si>
    <t>Cultivos herbáceos de secano</t>
  </si>
  <si>
    <t>Arbustos</t>
  </si>
  <si>
    <t>Olivar de secano</t>
  </si>
  <si>
    <t>Olivar de regadío</t>
  </si>
  <si>
    <t>Pradera</t>
  </si>
  <si>
    <t>Pradera con arbustos</t>
  </si>
  <si>
    <t>Viñedo de regadío</t>
  </si>
  <si>
    <t>Viñedo de secano</t>
  </si>
  <si>
    <t>Frutales de regadío</t>
  </si>
  <si>
    <t>Frutales de secano</t>
  </si>
  <si>
    <t>tCO2/año</t>
  </si>
  <si>
    <t>Cultivos hortícolas</t>
  </si>
  <si>
    <t>Coníferas y eucalipto</t>
  </si>
  <si>
    <t>Viñedo con frutales</t>
  </si>
  <si>
    <t>Pastos naturales</t>
  </si>
  <si>
    <t>habitantes</t>
  </si>
  <si>
    <t>viviendas</t>
  </si>
  <si>
    <t>m3/hab/año</t>
  </si>
  <si>
    <t>kWh/m3</t>
  </si>
  <si>
    <t xml:space="preserve"> kgCO2eq/kWh</t>
  </si>
  <si>
    <t xml:space="preserve"> kgCO2eq/hab/año</t>
  </si>
  <si>
    <t xml:space="preserve"> tCO2eq/vivienda/año</t>
  </si>
  <si>
    <t>Suministro</t>
  </si>
  <si>
    <t>1.1</t>
  </si>
  <si>
    <t>Cambio de uso del suelo de agrícola o forestal a urbano</t>
  </si>
  <si>
    <t>Superficie (ha)</t>
  </si>
  <si>
    <t>Uso de suelo</t>
  </si>
  <si>
    <t>(tCO2/ha/año)</t>
  </si>
  <si>
    <t>Depuración</t>
  </si>
  <si>
    <t>1.2</t>
  </si>
  <si>
    <t>Obras de urbanización</t>
  </si>
  <si>
    <t>Nº de viviendas</t>
  </si>
  <si>
    <t>tCO2/vivienda/año</t>
  </si>
  <si>
    <t>1.3.2 Consumo energético</t>
  </si>
  <si>
    <t>1.3</t>
  </si>
  <si>
    <t>Funcionamiento y mantenimiento del desarrollo urbano</t>
  </si>
  <si>
    <t>Gas natural</t>
  </si>
  <si>
    <t>1.3.3 Residuos sólidos urbanos</t>
  </si>
  <si>
    <t>kg CO2/hab/año</t>
  </si>
  <si>
    <t>2</t>
  </si>
  <si>
    <t>MEDIDAS PREVENTIVAS CORRECTORAS Y COMPENSATORIAS</t>
  </si>
  <si>
    <t>2.1</t>
  </si>
  <si>
    <t>Compensación de la pérdida de reservas de carbono</t>
  </si>
  <si>
    <t>2.1.1</t>
  </si>
  <si>
    <t>Zonas verdes</t>
  </si>
  <si>
    <t>2.1.2</t>
  </si>
  <si>
    <t>Cubierta vegetal</t>
  </si>
  <si>
    <t>Superficie (m2)</t>
  </si>
  <si>
    <t>(tCO2/m2/año)</t>
  </si>
  <si>
    <t>2.2</t>
  </si>
  <si>
    <t>Responsabilidad del promotor y movilidad obligada</t>
  </si>
  <si>
    <t>2.2.2</t>
  </si>
  <si>
    <t>Mantenimiento de jardines</t>
  </si>
  <si>
    <t>Superficie zonas verdes (m2)</t>
  </si>
  <si>
    <t>Ahorro(m3/año)</t>
  </si>
  <si>
    <t>tCO2/m3</t>
  </si>
  <si>
    <t>Nº vehículos mantenimiento</t>
  </si>
  <si>
    <t>tCO2/vehículo*año</t>
  </si>
  <si>
    <t>2.2.3</t>
  </si>
  <si>
    <t>Movilidad obligada</t>
  </si>
  <si>
    <t>Carril bici (Km)</t>
  </si>
  <si>
    <t>(tCO2/Km/año)</t>
  </si>
  <si>
    <t>2.3</t>
  </si>
  <si>
    <t>Funcionamiento de las viviendas proyectadas</t>
  </si>
  <si>
    <t>Nº viviendas unifamiliar</t>
  </si>
  <si>
    <t>Nº viviendas multifamiliar</t>
  </si>
  <si>
    <t>2.4</t>
  </si>
  <si>
    <t>Consumo de electricidad de la urbanización</t>
  </si>
  <si>
    <t>2.4.1</t>
  </si>
  <si>
    <t>Alumbrado público</t>
  </si>
  <si>
    <t>Kwh ahorrados/año</t>
  </si>
  <si>
    <t>2.4.2</t>
  </si>
  <si>
    <t>Gestión de residuos</t>
  </si>
  <si>
    <t>Kg generados/año</t>
  </si>
  <si>
    <t>tCO2/kg</t>
  </si>
  <si>
    <t>2.4.3</t>
  </si>
  <si>
    <t>Energías alternativas</t>
  </si>
  <si>
    <t>MWh renovables/año</t>
  </si>
  <si>
    <t>tCO2/MWh</t>
  </si>
  <si>
    <t>2.5</t>
  </si>
  <si>
    <t>Aprovechamiento del agua de lluvia y reutilización de aguas grises.</t>
  </si>
  <si>
    <t>2.5.1</t>
  </si>
  <si>
    <t>Reducción del consumo energético asociado al ciclo urbano del agua</t>
  </si>
  <si>
    <t>2.5.2</t>
  </si>
  <si>
    <t>Aprovechamiento del agua de lluvia y reutilización de aguas grises</t>
  </si>
  <si>
    <t>Elección de especies</t>
  </si>
  <si>
    <t>%</t>
  </si>
  <si>
    <t>Tipología</t>
  </si>
  <si>
    <t>litros/m2</t>
  </si>
  <si>
    <t>Césped</t>
  </si>
  <si>
    <t>Plantas autóctonas</t>
  </si>
  <si>
    <t>Flores de temporada</t>
  </si>
  <si>
    <t>Total litros/m2</t>
  </si>
  <si>
    <t>Riego por goteo subsuperficial (ahorro del 80%)</t>
  </si>
  <si>
    <t>Ahorro (L/m2)</t>
  </si>
  <si>
    <t>Mejora respecto a clase F</t>
  </si>
  <si>
    <t>Emisiones totales(Kg CO2/m2/año)</t>
  </si>
  <si>
    <t>Clase</t>
  </si>
  <si>
    <t>Unifamiliar</t>
  </si>
  <si>
    <t>Bloque</t>
  </si>
  <si>
    <t>A</t>
  </si>
  <si>
    <t>B</t>
  </si>
  <si>
    <t>C</t>
  </si>
  <si>
    <t>D</t>
  </si>
  <si>
    <t>E</t>
  </si>
  <si>
    <t>F</t>
  </si>
  <si>
    <t>Mejora según % proyectado</t>
  </si>
  <si>
    <t>% proyectado</t>
  </si>
  <si>
    <t>media ponderada</t>
  </si>
  <si>
    <t>superficie media</t>
  </si>
  <si>
    <t>t CO2/vivienda/año</t>
  </si>
  <si>
    <t>kg CO2eq/kg</t>
  </si>
  <si>
    <t>Kg de fracción resto</t>
  </si>
  <si>
    <t>emisiones reducidas</t>
  </si>
  <si>
    <t>ponderación</t>
  </si>
  <si>
    <t>Vidrio</t>
  </si>
  <si>
    <t>Envases</t>
  </si>
  <si>
    <t>Papel/Cartón</t>
  </si>
  <si>
    <t>Materia orgánica</t>
  </si>
  <si>
    <t>Fracción resto</t>
  </si>
  <si>
    <t>kg CO2eq/kg que es reciclado totalmente</t>
  </si>
  <si>
    <t>Valle del Ebro y  Sur-oriental.</t>
  </si>
  <si>
    <t>Sotomonte</t>
  </si>
  <si>
    <t>Sierra</t>
  </si>
  <si>
    <t>Demanda energética estándar (kWh/vivienda y año)</t>
  </si>
  <si>
    <t>Demanda energética eficiente (kWh/vivienda y año)</t>
  </si>
  <si>
    <t>Calefacción (55,3%)</t>
  </si>
  <si>
    <t>Refrigeración (0,7%)</t>
  </si>
  <si>
    <t xml:space="preserve">ACS (17,4%) </t>
  </si>
  <si>
    <t>Resto E. eléctrica (26,6%)</t>
  </si>
  <si>
    <t>Biomasa</t>
  </si>
  <si>
    <t>Gasoleo</t>
  </si>
  <si>
    <t>1.3.1</t>
  </si>
  <si>
    <t>1.3.2</t>
  </si>
  <si>
    <t>1.3.3</t>
  </si>
  <si>
    <t>Ir a 1.3. Funcionamiento</t>
  </si>
  <si>
    <t>Subtotal Electricidad</t>
  </si>
  <si>
    <t>Subtotal Calefacción</t>
  </si>
  <si>
    <t>kgCO2/Kwh</t>
  </si>
  <si>
    <t>Tablas</t>
  </si>
  <si>
    <t>Usos del suelo</t>
  </si>
  <si>
    <t>Nº de viviendas con 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</si>
</sst>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000"/>
  </numFmts>
  <fonts count="20" x14ac:knownFonts="1">
    <font>
      <sz val="10"/>
      <color rgb="FF00000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63"/>
      <name val="Times New Roman"/>
      <family val="1"/>
    </font>
    <font>
      <b/>
      <sz val="11"/>
      <color indexed="57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63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63"/>
      <name val="Times New Roman"/>
      <family val="1"/>
    </font>
    <font>
      <b/>
      <sz val="10"/>
      <color indexed="8"/>
      <name val="Arial"/>
      <family val="2"/>
    </font>
    <font>
      <b/>
      <sz val="11"/>
      <name val="Times New Roman"/>
      <family val="1"/>
    </font>
    <font>
      <sz val="8"/>
      <name val="Arial"/>
      <family val="2"/>
    </font>
    <font>
      <b/>
      <sz val="11"/>
      <color indexed="9"/>
      <name val="Times New Roman"/>
      <family val="1"/>
    </font>
    <font>
      <sz val="11"/>
      <color indexed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7"/>
        <b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51"/>
      </patternFill>
    </fill>
    <fill>
      <patternFill patternType="solid">
        <fgColor indexed="10"/>
        <b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3"/>
        <bgColor indexed="13"/>
      </patternFill>
    </fill>
    <fill>
      <patternFill patternType="solid">
        <fgColor indexed="49"/>
        <bgColor indexed="4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4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4" fillId="2" borderId="0" xfId="0" applyFont="1" applyFill="1" applyAlignment="1"/>
    <xf numFmtId="0" fontId="3" fillId="0" borderId="0" xfId="0" applyFont="1" applyAlignment="1"/>
    <xf numFmtId="164" fontId="1" fillId="0" borderId="0" xfId="0" applyNumberFormat="1" applyFont="1"/>
    <xf numFmtId="0" fontId="1" fillId="3" borderId="1" xfId="0" applyFont="1" applyFill="1" applyBorder="1" applyAlignment="1"/>
    <xf numFmtId="164" fontId="1" fillId="0" borderId="1" xfId="0" applyNumberFormat="1" applyFont="1" applyBorder="1"/>
    <xf numFmtId="0" fontId="5" fillId="2" borderId="0" xfId="0" applyFont="1" applyFill="1" applyAlignment="1"/>
    <xf numFmtId="0" fontId="1" fillId="0" borderId="1" xfId="0" applyFont="1" applyBorder="1"/>
    <xf numFmtId="0" fontId="6" fillId="0" borderId="2" xfId="0" applyFont="1" applyBorder="1" applyAlignment="1"/>
    <xf numFmtId="164" fontId="5" fillId="2" borderId="0" xfId="0" applyNumberFormat="1" applyFont="1" applyFill="1" applyAlignment="1"/>
    <xf numFmtId="0" fontId="7" fillId="2" borderId="0" xfId="0" applyFont="1" applyFill="1" applyAlignment="1"/>
    <xf numFmtId="0" fontId="1" fillId="0" borderId="0" xfId="0" applyFont="1" applyAlignment="1">
      <alignment horizontal="left"/>
    </xf>
    <xf numFmtId="165" fontId="1" fillId="0" borderId="0" xfId="0" applyNumberFormat="1" applyFont="1" applyAlignment="1"/>
    <xf numFmtId="0" fontId="4" fillId="2" borderId="0" xfId="0" applyFont="1" applyFill="1" applyAlignment="1">
      <alignment horizontal="left"/>
    </xf>
    <xf numFmtId="166" fontId="1" fillId="0" borderId="0" xfId="0" applyNumberFormat="1" applyFont="1" applyAlignment="1"/>
    <xf numFmtId="166" fontId="1" fillId="0" borderId="0" xfId="0" applyNumberFormat="1" applyFont="1"/>
    <xf numFmtId="164" fontId="2" fillId="0" borderId="0" xfId="0" applyNumberFormat="1" applyFont="1"/>
    <xf numFmtId="0" fontId="8" fillId="0" borderId="0" xfId="0" applyFont="1"/>
    <xf numFmtId="0" fontId="7" fillId="2" borderId="0" xfId="0" applyFont="1" applyFill="1" applyAlignment="1">
      <alignment horizontal="left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8" fillId="0" borderId="1" xfId="0" applyFont="1" applyBorder="1"/>
    <xf numFmtId="10" fontId="2" fillId="4" borderId="1" xfId="0" applyNumberFormat="1" applyFont="1" applyFill="1" applyBorder="1" applyAlignment="1"/>
    <xf numFmtId="0" fontId="3" fillId="2" borderId="1" xfId="0" applyFont="1" applyFill="1" applyBorder="1" applyAlignment="1"/>
    <xf numFmtId="0" fontId="1" fillId="0" borderId="1" xfId="0" applyFont="1" applyBorder="1" applyAlignment="1"/>
    <xf numFmtId="10" fontId="2" fillId="5" borderId="1" xfId="0" applyNumberFormat="1" applyFont="1" applyFill="1" applyBorder="1" applyAlignment="1"/>
    <xf numFmtId="10" fontId="6" fillId="3" borderId="1" xfId="0" applyNumberFormat="1" applyFont="1" applyFill="1" applyBorder="1" applyAlignment="1"/>
    <xf numFmtId="10" fontId="1" fillId="6" borderId="1" xfId="0" applyNumberFormat="1" applyFont="1" applyFill="1" applyBorder="1" applyAlignment="1"/>
    <xf numFmtId="0" fontId="8" fillId="0" borderId="0" xfId="0" applyFont="1" applyAlignment="1"/>
    <xf numFmtId="0" fontId="9" fillId="0" borderId="1" xfId="0" applyFont="1" applyBorder="1" applyAlignment="1"/>
    <xf numFmtId="0" fontId="8" fillId="0" borderId="1" xfId="0" applyFont="1" applyBorder="1" applyAlignment="1"/>
    <xf numFmtId="10" fontId="8" fillId="3" borderId="1" xfId="0" applyNumberFormat="1" applyFont="1" applyFill="1" applyBorder="1" applyAlignment="1"/>
    <xf numFmtId="10" fontId="8" fillId="5" borderId="1" xfId="0" applyNumberFormat="1" applyFont="1" applyFill="1" applyBorder="1" applyAlignment="1"/>
    <xf numFmtId="10" fontId="8" fillId="4" borderId="1" xfId="0" applyNumberFormat="1" applyFont="1" applyFill="1" applyBorder="1" applyAlignment="1"/>
    <xf numFmtId="10" fontId="8" fillId="6" borderId="1" xfId="0" applyNumberFormat="1" applyFont="1" applyFill="1" applyBorder="1" applyAlignment="1"/>
    <xf numFmtId="10" fontId="8" fillId="7" borderId="1" xfId="0" applyNumberFormat="1" applyFont="1" applyFill="1" applyBorder="1" applyAlignment="1"/>
    <xf numFmtId="0" fontId="8" fillId="3" borderId="1" xfId="0" applyFont="1" applyFill="1" applyBorder="1" applyAlignment="1"/>
    <xf numFmtId="164" fontId="8" fillId="0" borderId="1" xfId="0" applyNumberFormat="1" applyFont="1" applyBorder="1"/>
    <xf numFmtId="0" fontId="11" fillId="0" borderId="0" xfId="0" applyFont="1"/>
    <xf numFmtId="0" fontId="1" fillId="8" borderId="1" xfId="0" applyFont="1" applyFill="1" applyBorder="1" applyAlignment="1"/>
    <xf numFmtId="0" fontId="1" fillId="9" borderId="1" xfId="0" applyFont="1" applyFill="1" applyBorder="1" applyAlignment="1"/>
    <xf numFmtId="0" fontId="1" fillId="7" borderId="1" xfId="0" applyFont="1" applyFill="1" applyBorder="1" applyAlignment="1"/>
    <xf numFmtId="0" fontId="6" fillId="2" borderId="1" xfId="0" applyFont="1" applyFill="1" applyBorder="1" applyAlignment="1"/>
    <xf numFmtId="0" fontId="1" fillId="0" borderId="4" xfId="0" applyFont="1" applyBorder="1"/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0" xfId="0" applyFont="1"/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2" fontId="0" fillId="0" borderId="0" xfId="0" applyNumberFormat="1" applyFont="1" applyAlignment="1"/>
    <xf numFmtId="2" fontId="4" fillId="2" borderId="0" xfId="0" applyNumberFormat="1" applyFont="1" applyFill="1" applyAlignment="1"/>
    <xf numFmtId="0" fontId="13" fillId="0" borderId="0" xfId="0" applyFont="1" applyAlignment="1">
      <alignment horizontal="right"/>
    </xf>
    <xf numFmtId="164" fontId="1" fillId="0" borderId="0" xfId="0" applyNumberFormat="1" applyFont="1" applyBorder="1"/>
    <xf numFmtId="0" fontId="13" fillId="3" borderId="1" xfId="0" applyFont="1" applyFill="1" applyBorder="1" applyAlignment="1"/>
    <xf numFmtId="0" fontId="14" fillId="2" borderId="9" xfId="0" applyFont="1" applyFill="1" applyBorder="1" applyAlignment="1"/>
    <xf numFmtId="0" fontId="13" fillId="0" borderId="9" xfId="0" applyFont="1" applyBorder="1"/>
    <xf numFmtId="164" fontId="12" fillId="0" borderId="10" xfId="0" applyNumberFormat="1" applyFont="1" applyBorder="1" applyAlignment="1">
      <alignment vertical="center" wrapText="1"/>
    </xf>
    <xf numFmtId="0" fontId="1" fillId="3" borderId="11" xfId="0" applyFont="1" applyFill="1" applyBorder="1" applyAlignment="1"/>
    <xf numFmtId="0" fontId="12" fillId="0" borderId="12" xfId="0" applyFont="1" applyBorder="1" applyAlignment="1">
      <alignment vertical="center" wrapText="1"/>
    </xf>
    <xf numFmtId="2" fontId="12" fillId="0" borderId="12" xfId="0" applyNumberFormat="1" applyFont="1" applyBorder="1" applyAlignment="1">
      <alignment vertical="center" wrapText="1"/>
    </xf>
    <xf numFmtId="0" fontId="1" fillId="3" borderId="13" xfId="0" applyFont="1" applyFill="1" applyBorder="1" applyAlignment="1"/>
    <xf numFmtId="0" fontId="1" fillId="3" borderId="4" xfId="0" applyFont="1" applyFill="1" applyBorder="1" applyAlignment="1"/>
    <xf numFmtId="0" fontId="15" fillId="0" borderId="9" xfId="0" applyFont="1" applyBorder="1" applyAlignment="1"/>
    <xf numFmtId="0" fontId="16" fillId="0" borderId="9" xfId="0" applyFont="1" applyBorder="1"/>
    <xf numFmtId="0" fontId="1" fillId="3" borderId="14" xfId="0" applyFont="1" applyFill="1" applyBorder="1" applyAlignment="1"/>
    <xf numFmtId="0" fontId="1" fillId="3" borderId="2" xfId="0" applyFont="1" applyFill="1" applyBorder="1" applyAlignment="1"/>
    <xf numFmtId="164" fontId="1" fillId="0" borderId="9" xfId="0" applyNumberFormat="1" applyFont="1" applyBorder="1"/>
    <xf numFmtId="0" fontId="1" fillId="0" borderId="0" xfId="0" applyFont="1" applyBorder="1"/>
    <xf numFmtId="0" fontId="3" fillId="0" borderId="0" xfId="0" applyFont="1" applyBorder="1" applyAlignment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Border="1" applyAlignment="1"/>
    <xf numFmtId="0" fontId="4" fillId="2" borderId="9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4" xfId="0" applyFont="1" applyBorder="1"/>
    <xf numFmtId="0" fontId="9" fillId="0" borderId="2" xfId="0" applyFont="1" applyBorder="1" applyAlignment="1">
      <alignment horizontal="center"/>
    </xf>
    <xf numFmtId="0" fontId="10" fillId="0" borderId="3" xfId="0" applyFont="1" applyBorder="1"/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2"/>
  <sheetViews>
    <sheetView workbookViewId="0">
      <selection activeCell="G12" sqref="G12"/>
    </sheetView>
  </sheetViews>
  <sheetFormatPr baseColWidth="10" defaultColWidth="14.42578125" defaultRowHeight="15.75" customHeight="1" x14ac:dyDescent="0.2"/>
  <cols>
    <col min="1" max="1" width="10.28515625" customWidth="1"/>
    <col min="2" max="2" width="21.140625" customWidth="1"/>
    <col min="3" max="3" width="15.42578125" customWidth="1"/>
    <col min="4" max="4" width="19.140625" customWidth="1"/>
    <col min="5" max="5" width="18.42578125" customWidth="1"/>
    <col min="6" max="6" width="16.42578125" customWidth="1"/>
    <col min="7" max="7" width="15.42578125" customWidth="1"/>
  </cols>
  <sheetData>
    <row r="1" spans="1:27" ht="15" x14ac:dyDescent="0.25">
      <c r="A1" s="2"/>
      <c r="B1" s="4"/>
      <c r="C1" s="5"/>
      <c r="D1" s="5"/>
      <c r="E1" s="1"/>
      <c r="F1" s="5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" x14ac:dyDescent="0.25">
      <c r="A2" s="2" t="s">
        <v>3</v>
      </c>
      <c r="B2" s="4" t="s">
        <v>4</v>
      </c>
      <c r="C2" s="5"/>
      <c r="D2" s="5"/>
      <c r="E2" s="1"/>
      <c r="F2" s="9">
        <f>SUM(E7,E12,E15)</f>
        <v>42.872042457000006</v>
      </c>
      <c r="G2" s="11" t="s">
        <v>17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" x14ac:dyDescent="0.25">
      <c r="A3" s="12"/>
      <c r="B3" s="1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x14ac:dyDescent="0.25">
      <c r="A4" s="12" t="s">
        <v>30</v>
      </c>
      <c r="B4" s="14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x14ac:dyDescent="0.25">
      <c r="A5" s="12"/>
      <c r="B5" s="1"/>
      <c r="C5" s="1"/>
      <c r="D5" s="1"/>
      <c r="E5" s="1"/>
      <c r="F5" s="1"/>
      <c r="G5" s="1"/>
      <c r="H5" s="82"/>
      <c r="I5" s="83"/>
      <c r="J5" s="8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x14ac:dyDescent="0.25">
      <c r="A6" s="12"/>
      <c r="B6" s="13" t="s">
        <v>32</v>
      </c>
      <c r="C6" s="13" t="s">
        <v>33</v>
      </c>
      <c r="D6" s="15" t="s">
        <v>34</v>
      </c>
      <c r="E6" s="13" t="s">
        <v>17</v>
      </c>
      <c r="F6" s="1"/>
      <c r="G6" s="1"/>
      <c r="H6" s="82"/>
      <c r="I6" s="83"/>
      <c r="J6" s="8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x14ac:dyDescent="0.25">
      <c r="A7" s="12"/>
      <c r="B7" s="17">
        <v>2</v>
      </c>
      <c r="C7" s="13" t="s">
        <v>10</v>
      </c>
      <c r="D7" s="1">
        <f>VLOOKUP(C7,'1.1. Usos suelo'!A2:B18,2,0)</f>
        <v>20.12</v>
      </c>
      <c r="E7" s="81">
        <f>B7*D7</f>
        <v>40.24</v>
      </c>
      <c r="F7" s="1"/>
      <c r="G7" s="1"/>
      <c r="H7" s="82"/>
      <c r="I7" s="83"/>
      <c r="J7" s="8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x14ac:dyDescent="0.25">
      <c r="A8" s="12"/>
      <c r="B8" s="1"/>
      <c r="C8" s="1"/>
      <c r="D8" s="1"/>
      <c r="E8" s="1"/>
      <c r="F8" s="1"/>
      <c r="G8" s="1"/>
      <c r="H8" s="82"/>
      <c r="I8" s="83"/>
      <c r="J8" s="8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x14ac:dyDescent="0.25">
      <c r="A9" s="12" t="s">
        <v>36</v>
      </c>
      <c r="B9" s="14" t="s">
        <v>37</v>
      </c>
      <c r="C9" s="1"/>
      <c r="D9" s="1"/>
      <c r="E9" s="1"/>
      <c r="F9" s="1"/>
      <c r="G9" s="1"/>
      <c r="H9" s="82"/>
      <c r="I9" s="83"/>
      <c r="J9" s="8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x14ac:dyDescent="0.25">
      <c r="A10" s="12"/>
      <c r="B10" s="1"/>
      <c r="C10" s="1"/>
      <c r="D10" s="1"/>
      <c r="E10" s="1"/>
      <c r="F10" s="1"/>
      <c r="G10" s="1"/>
      <c r="H10" s="82"/>
      <c r="I10" s="83"/>
      <c r="J10" s="8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x14ac:dyDescent="0.25">
      <c r="A11" s="12"/>
      <c r="B11" s="13" t="s">
        <v>38</v>
      </c>
      <c r="C11" s="13" t="s">
        <v>39</v>
      </c>
      <c r="D11" s="1"/>
      <c r="E11" s="13" t="s">
        <v>17</v>
      </c>
      <c r="F11" s="1"/>
      <c r="G11" s="1"/>
      <c r="H11" s="82"/>
      <c r="I11" s="83"/>
      <c r="J11" s="8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x14ac:dyDescent="0.25">
      <c r="A12" s="12"/>
      <c r="B12" s="17">
        <v>1</v>
      </c>
      <c r="C12" s="19">
        <v>1.0940000000000001</v>
      </c>
      <c r="D12" s="1"/>
      <c r="E12" s="20">
        <f>B12*C12</f>
        <v>1.0940000000000001</v>
      </c>
      <c r="F12" s="1"/>
      <c r="G12" s="1"/>
      <c r="H12" s="82"/>
      <c r="I12" s="83"/>
      <c r="J12" s="8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x14ac:dyDescent="0.25">
      <c r="A13" s="12"/>
      <c r="B13" s="1"/>
      <c r="C13" s="1"/>
      <c r="D13" s="1"/>
      <c r="E13" s="1"/>
      <c r="F13" s="1"/>
      <c r="G13" s="1"/>
      <c r="H13" s="82"/>
      <c r="I13" s="83"/>
      <c r="J13" s="8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x14ac:dyDescent="0.25">
      <c r="A14" s="12"/>
      <c r="B14" s="1"/>
      <c r="C14" s="1"/>
      <c r="D14" s="1"/>
      <c r="E14" s="13" t="s">
        <v>17</v>
      </c>
      <c r="F14" s="1"/>
      <c r="G14" s="1"/>
      <c r="H14" s="82"/>
      <c r="I14" s="83"/>
      <c r="J14" s="8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x14ac:dyDescent="0.25">
      <c r="A15" s="12" t="s">
        <v>41</v>
      </c>
      <c r="B15" s="14" t="s">
        <v>42</v>
      </c>
      <c r="C15" s="1"/>
      <c r="D15" s="1"/>
      <c r="E15" s="18">
        <f>SUM(E18,E21,E24)</f>
        <v>1.538042457</v>
      </c>
      <c r="F15" s="1"/>
      <c r="G15" s="1"/>
      <c r="H15" s="82"/>
      <c r="I15" s="83"/>
      <c r="J15" s="8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x14ac:dyDescent="0.25">
      <c r="A16" s="12"/>
      <c r="B16" s="1"/>
      <c r="C16" s="1"/>
      <c r="D16" s="1"/>
      <c r="E16" s="1"/>
      <c r="F16" s="1"/>
      <c r="G16" s="1"/>
      <c r="H16" s="82"/>
      <c r="I16" s="83"/>
      <c r="J16" s="8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x14ac:dyDescent="0.25">
      <c r="A17" s="66" t="s">
        <v>139</v>
      </c>
      <c r="B17" s="13" t="s">
        <v>38</v>
      </c>
      <c r="C17" s="13" t="s">
        <v>39</v>
      </c>
      <c r="D17" s="1"/>
      <c r="E17" s="13" t="s">
        <v>17</v>
      </c>
      <c r="F17" s="1"/>
      <c r="G17" s="1"/>
      <c r="H17" s="82"/>
      <c r="I17" s="83"/>
      <c r="J17" s="8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x14ac:dyDescent="0.25">
      <c r="A18" s="12"/>
      <c r="B18" s="17">
        <v>1</v>
      </c>
      <c r="C18" s="22">
        <f>'1.3. Funcionamiento'!D2</f>
        <v>0.65254245700000002</v>
      </c>
      <c r="D18" s="1"/>
      <c r="E18" s="18">
        <f>B18*C18</f>
        <v>0.65254245700000002</v>
      </c>
      <c r="F18" s="1"/>
      <c r="G18" s="1"/>
      <c r="H18" s="82"/>
      <c r="I18" s="83"/>
      <c r="J18" s="8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x14ac:dyDescent="0.25">
      <c r="A19" s="12"/>
      <c r="B19" s="1"/>
      <c r="C19" s="1"/>
      <c r="D19" s="1"/>
      <c r="E19" s="1"/>
      <c r="F19" s="1"/>
      <c r="G19" s="1"/>
      <c r="H19" s="82"/>
      <c r="I19" s="83"/>
      <c r="J19" s="8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x14ac:dyDescent="0.25">
      <c r="A20" s="66" t="s">
        <v>140</v>
      </c>
      <c r="B20" s="13" t="s">
        <v>38</v>
      </c>
      <c r="C20" s="13" t="s">
        <v>39</v>
      </c>
      <c r="D20" s="1"/>
      <c r="E20" s="13" t="s">
        <v>17</v>
      </c>
      <c r="F20" s="1"/>
      <c r="G20" s="1"/>
      <c r="H20" s="82"/>
      <c r="I20" s="83"/>
      <c r="J20" s="8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x14ac:dyDescent="0.25">
      <c r="A21" s="12"/>
      <c r="B21" s="68" t="s">
        <v>142</v>
      </c>
      <c r="C21" s="22"/>
      <c r="D21" s="1"/>
      <c r="E21" s="18">
        <f>'1.3. Funcionamiento'!D8</f>
        <v>0</v>
      </c>
      <c r="F21" s="1"/>
      <c r="G21" s="1"/>
      <c r="H21" s="82"/>
      <c r="I21" s="83"/>
      <c r="J21" s="8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x14ac:dyDescent="0.25">
      <c r="A22" s="12"/>
      <c r="B22" s="1"/>
      <c r="C22" s="22"/>
      <c r="D22" s="1"/>
      <c r="E22" s="67"/>
      <c r="F22" s="1"/>
      <c r="G22" s="1"/>
      <c r="H22" s="82"/>
      <c r="I22" s="83"/>
      <c r="J22" s="8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" x14ac:dyDescent="0.25">
      <c r="A23" s="66" t="s">
        <v>141</v>
      </c>
      <c r="B23" s="13" t="s">
        <v>38</v>
      </c>
      <c r="C23" s="13" t="s">
        <v>39</v>
      </c>
      <c r="D23" s="1"/>
      <c r="E23" s="13" t="s">
        <v>17</v>
      </c>
      <c r="F23" s="1"/>
      <c r="G23" s="1"/>
      <c r="H23" s="82"/>
      <c r="I23" s="82"/>
      <c r="J23" s="8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x14ac:dyDescent="0.25">
      <c r="A24" s="12"/>
      <c r="B24" s="17">
        <v>1</v>
      </c>
      <c r="C24" s="22">
        <f>'1.3. Funcionamiento'!D24</f>
        <v>0.88549999999999995</v>
      </c>
      <c r="D24" s="1"/>
      <c r="E24" s="18">
        <f>B24*C24</f>
        <v>0.88549999999999995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x14ac:dyDescent="0.25">
      <c r="A26" s="12"/>
      <c r="B26" s="13"/>
      <c r="C26" s="1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x14ac:dyDescent="0.25">
      <c r="A27" s="12"/>
      <c r="B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x14ac:dyDescent="0.2">
      <c r="A28" s="2" t="s">
        <v>46</v>
      </c>
      <c r="B28" s="4" t="s">
        <v>47</v>
      </c>
      <c r="C28" s="5"/>
      <c r="D28" s="5"/>
      <c r="E28" s="5"/>
      <c r="F28" s="9">
        <f>F31+F43+F59+F67+F85+F97</f>
        <v>-281.05340843450853</v>
      </c>
      <c r="G28" s="11" t="s">
        <v>17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5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x14ac:dyDescent="0.25">
      <c r="A31" s="2" t="s">
        <v>48</v>
      </c>
      <c r="B31" s="23" t="s">
        <v>49</v>
      </c>
      <c r="C31" s="5"/>
      <c r="D31" s="5"/>
      <c r="E31" s="5"/>
      <c r="F31" s="9">
        <f>E36+E41</f>
        <v>-5.9408820000000002</v>
      </c>
      <c r="G31" s="11" t="s">
        <v>17</v>
      </c>
      <c r="H31" s="1"/>
      <c r="I31" s="1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" x14ac:dyDescent="0.25">
      <c r="A32" s="12"/>
      <c r="B32" s="1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x14ac:dyDescent="0.25">
      <c r="A33" s="12" t="s">
        <v>50</v>
      </c>
      <c r="B33" s="24" t="s">
        <v>51</v>
      </c>
      <c r="C33" s="1"/>
      <c r="D33" s="15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x14ac:dyDescent="0.25">
      <c r="A34" s="12"/>
      <c r="B34" s="13"/>
      <c r="C34" s="1"/>
      <c r="D34" s="15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x14ac:dyDescent="0.25">
      <c r="A35" s="1"/>
      <c r="B35" s="13" t="s">
        <v>32</v>
      </c>
      <c r="C35" s="1"/>
      <c r="D35" s="15" t="s">
        <v>34</v>
      </c>
      <c r="E35" s="13" t="s">
        <v>17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x14ac:dyDescent="0.25">
      <c r="A36" s="12"/>
      <c r="B36" s="17">
        <v>1</v>
      </c>
      <c r="C36" s="1"/>
      <c r="D36" s="13">
        <v>-5.94</v>
      </c>
      <c r="E36" s="1">
        <f>B36*D36</f>
        <v>-5.94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x14ac:dyDescent="0.25">
      <c r="A38" s="12" t="s">
        <v>52</v>
      </c>
      <c r="B38" s="12" t="s">
        <v>53</v>
      </c>
      <c r="C38" s="1"/>
      <c r="D38" s="15"/>
      <c r="E38" s="1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x14ac:dyDescent="0.25">
      <c r="A39" s="12"/>
      <c r="B39" s="13"/>
      <c r="C39" s="1"/>
      <c r="D39" s="15"/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x14ac:dyDescent="0.25">
      <c r="A40" s="1"/>
      <c r="B40" s="13" t="s">
        <v>54</v>
      </c>
      <c r="C40" s="1"/>
      <c r="D40" s="15" t="s">
        <v>55</v>
      </c>
      <c r="E40" s="13" t="s">
        <v>17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x14ac:dyDescent="0.25">
      <c r="A41" s="12"/>
      <c r="B41" s="17">
        <v>1</v>
      </c>
      <c r="C41" s="1"/>
      <c r="D41" s="25">
        <v>-8.8199999999999997E-4</v>
      </c>
      <c r="E41" s="1">
        <f>B41*D41</f>
        <v>-8.8199999999999997E-4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x14ac:dyDescent="0.25">
      <c r="A42" s="12"/>
      <c r="B42" s="1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x14ac:dyDescent="0.25">
      <c r="A43" s="2" t="s">
        <v>56</v>
      </c>
      <c r="B43" s="23" t="s">
        <v>57</v>
      </c>
      <c r="C43" s="5"/>
      <c r="D43" s="5"/>
      <c r="E43" s="5"/>
      <c r="F43" s="9">
        <f>F49+E52+E57</f>
        <v>-252.28000823948051</v>
      </c>
      <c r="G43" s="11" t="s">
        <v>17</v>
      </c>
      <c r="H43" s="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x14ac:dyDescent="0.25">
      <c r="A46" s="12" t="s">
        <v>58</v>
      </c>
      <c r="B46" s="26" t="s">
        <v>59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x14ac:dyDescent="0.25">
      <c r="A48" s="12"/>
      <c r="B48" s="13" t="s">
        <v>60</v>
      </c>
      <c r="C48" s="1"/>
      <c r="D48" s="13" t="s">
        <v>61</v>
      </c>
      <c r="E48" s="13" t="s">
        <v>62</v>
      </c>
      <c r="F48" s="13" t="s">
        <v>17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x14ac:dyDescent="0.25">
      <c r="A49" s="12"/>
      <c r="B49" s="17">
        <v>1</v>
      </c>
      <c r="C49" s="1"/>
      <c r="D49" s="1">
        <f>B49*'2.2.2 Parques y jardines'!G15/1000</f>
        <v>2.4880000000000006E-3</v>
      </c>
      <c r="E49" s="27">
        <v>-3.3116883116883098E-3</v>
      </c>
      <c r="F49" s="28">
        <f>D49*E49</f>
        <v>-8.2394805194805174E-6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x14ac:dyDescent="0.25">
      <c r="A51" s="12"/>
      <c r="B51" s="13" t="s">
        <v>63</v>
      </c>
      <c r="C51" s="1"/>
      <c r="D51" s="13" t="s">
        <v>64</v>
      </c>
      <c r="E51" s="13" t="s">
        <v>17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 x14ac:dyDescent="0.25">
      <c r="A52" s="12"/>
      <c r="B52" s="17">
        <v>1</v>
      </c>
      <c r="C52" s="1"/>
      <c r="D52" s="13">
        <v>-2.2799999999999998</v>
      </c>
      <c r="E52" s="1">
        <f>B52*D52</f>
        <v>-2.2799999999999998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x14ac:dyDescent="0.25">
      <c r="A53" s="12"/>
      <c r="B53" s="2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 x14ac:dyDescent="0.25">
      <c r="A54" s="12" t="s">
        <v>65</v>
      </c>
      <c r="B54" s="24" t="s">
        <v>66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x14ac:dyDescent="0.25">
      <c r="A56" s="12"/>
      <c r="B56" s="13" t="s">
        <v>67</v>
      </c>
      <c r="C56" s="1"/>
      <c r="D56" s="15" t="s">
        <v>68</v>
      </c>
      <c r="E56" s="13" t="s">
        <v>17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x14ac:dyDescent="0.25">
      <c r="A57" s="12"/>
      <c r="B57" s="17">
        <v>1</v>
      </c>
      <c r="C57" s="1"/>
      <c r="D57" s="13">
        <v>-250</v>
      </c>
      <c r="E57" s="1">
        <f>B57*D57</f>
        <v>-250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x14ac:dyDescent="0.2">
      <c r="A59" s="2" t="s">
        <v>69</v>
      </c>
      <c r="B59" s="23" t="s">
        <v>70</v>
      </c>
      <c r="C59" s="5"/>
      <c r="D59" s="5"/>
      <c r="E59" s="5"/>
      <c r="F59" s="9">
        <f>E65+E62</f>
        <v>-22.071999999999996</v>
      </c>
      <c r="G59" s="11" t="s">
        <v>17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x14ac:dyDescent="0.25">
      <c r="A61" s="12"/>
      <c r="B61" s="13" t="s">
        <v>71</v>
      </c>
      <c r="C61" s="1"/>
      <c r="D61" s="13" t="s">
        <v>39</v>
      </c>
      <c r="E61" s="13" t="s">
        <v>17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x14ac:dyDescent="0.25">
      <c r="A62" s="12"/>
      <c r="B62" s="17">
        <v>1</v>
      </c>
      <c r="C62" s="1"/>
      <c r="D62" s="16">
        <f>'2.3 Viviendas'!E26</f>
        <v>-17.189999999999998</v>
      </c>
      <c r="E62" s="1">
        <f>B62*D62</f>
        <v>-17.189999999999998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x14ac:dyDescent="0.25">
      <c r="A64" s="12"/>
      <c r="B64" s="13" t="s">
        <v>72</v>
      </c>
      <c r="C64" s="1"/>
      <c r="D64" s="13" t="s">
        <v>39</v>
      </c>
      <c r="E64" s="13" t="s">
        <v>17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x14ac:dyDescent="0.25">
      <c r="A65" s="12"/>
      <c r="B65" s="17">
        <v>1</v>
      </c>
      <c r="C65" s="1"/>
      <c r="D65" s="1">
        <f>'2.3 Viviendas'!F26</f>
        <v>-4.8819999999999997</v>
      </c>
      <c r="E65" s="1">
        <f>B65*D65</f>
        <v>-4.8819999999999997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x14ac:dyDescent="0.2">
      <c r="A67" s="2" t="s">
        <v>73</v>
      </c>
      <c r="B67" s="23" t="s">
        <v>74</v>
      </c>
      <c r="C67" s="5"/>
      <c r="D67" s="5"/>
      <c r="E67" s="5"/>
      <c r="F67" s="9">
        <f>E77+E72+E82</f>
        <v>-0.72793399999999997</v>
      </c>
      <c r="G67" s="11" t="s">
        <v>17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x14ac:dyDescent="0.25">
      <c r="A69" s="12" t="s">
        <v>75</v>
      </c>
      <c r="B69" s="24" t="s">
        <v>76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 x14ac:dyDescent="0.25">
      <c r="A71" s="12"/>
      <c r="B71" s="13" t="s">
        <v>77</v>
      </c>
      <c r="C71" s="1"/>
      <c r="D71" s="13" t="s">
        <v>145</v>
      </c>
      <c r="E71" s="13" t="s">
        <v>17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" x14ac:dyDescent="0.25">
      <c r="A72" s="12"/>
      <c r="B72" s="17">
        <v>1</v>
      </c>
      <c r="C72" s="1"/>
      <c r="D72" s="13">
        <v>-0.27</v>
      </c>
      <c r="E72" s="1">
        <f>B72*D72/1000</f>
        <v>-2.7E-4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" x14ac:dyDescent="0.25">
      <c r="A74" s="12" t="s">
        <v>78</v>
      </c>
      <c r="B74" s="13" t="s">
        <v>79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" x14ac:dyDescent="0.25">
      <c r="A76" s="12"/>
      <c r="B76" s="13" t="s">
        <v>80</v>
      </c>
      <c r="C76" s="1"/>
      <c r="D76" s="13" t="s">
        <v>81</v>
      </c>
      <c r="E76" s="13" t="s">
        <v>17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" x14ac:dyDescent="0.25">
      <c r="A77" s="12"/>
      <c r="B77" s="17">
        <v>1</v>
      </c>
      <c r="C77" s="1"/>
      <c r="D77" s="1">
        <f>'2.4.2 Residuos'!H10</f>
        <v>-0.45766399999999996</v>
      </c>
      <c r="E77" s="1">
        <f>B77*D77</f>
        <v>-0.45766399999999996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" x14ac:dyDescent="0.25">
      <c r="A79" s="12" t="s">
        <v>82</v>
      </c>
      <c r="B79" s="13" t="s">
        <v>83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" x14ac:dyDescent="0.25">
      <c r="A81" s="12"/>
      <c r="B81" s="13" t="s">
        <v>84</v>
      </c>
      <c r="C81" s="1"/>
      <c r="D81" s="13" t="s">
        <v>85</v>
      </c>
      <c r="E81" s="13" t="s">
        <v>17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 x14ac:dyDescent="0.25">
      <c r="A82" s="12"/>
      <c r="B82" s="17">
        <v>1</v>
      </c>
      <c r="C82" s="1"/>
      <c r="D82" s="1">
        <f>-0.27</f>
        <v>-0.27</v>
      </c>
      <c r="E82" s="1">
        <f>B82*D82</f>
        <v>-0.27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x14ac:dyDescent="0.2">
      <c r="A84" s="2"/>
      <c r="B84" s="23"/>
      <c r="C84" s="5"/>
      <c r="D84" s="5"/>
      <c r="E84" s="5"/>
      <c r="F84" s="29"/>
      <c r="G84" s="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x14ac:dyDescent="0.2">
      <c r="A85" s="2" t="s">
        <v>86</v>
      </c>
      <c r="B85" s="23" t="s">
        <v>87</v>
      </c>
      <c r="C85" s="5"/>
      <c r="D85" s="5"/>
      <c r="E85" s="5"/>
      <c r="F85" s="9">
        <f>E90+E95</f>
        <v>-3.2584195028000001E-2</v>
      </c>
      <c r="G85" s="11" t="s">
        <v>17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" x14ac:dyDescent="0.25">
      <c r="A86" s="12"/>
      <c r="B86" s="1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 x14ac:dyDescent="0.25">
      <c r="A87" s="12" t="s">
        <v>88</v>
      </c>
      <c r="B87" s="13" t="s">
        <v>89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 x14ac:dyDescent="0.25">
      <c r="A89" s="12"/>
      <c r="B89" s="13" t="s">
        <v>148</v>
      </c>
      <c r="C89" s="13" t="s">
        <v>39</v>
      </c>
      <c r="D89" s="1"/>
      <c r="E89" s="13" t="s">
        <v>17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 x14ac:dyDescent="0.25">
      <c r="A90" s="12"/>
      <c r="B90" s="17">
        <v>1</v>
      </c>
      <c r="C90" s="16">
        <f>-0.02962199548*0.3</f>
        <v>-8.8865986439999999E-3</v>
      </c>
      <c r="D90" s="1"/>
      <c r="E90" s="18">
        <f>B90*C90</f>
        <v>-8.8865986439999999E-3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 x14ac:dyDescent="0.25">
      <c r="A92" s="12" t="s">
        <v>90</v>
      </c>
      <c r="B92" s="13" t="s">
        <v>91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" x14ac:dyDescent="0.25">
      <c r="A94" s="12"/>
      <c r="B94" s="13" t="s">
        <v>38</v>
      </c>
      <c r="C94" s="13" t="s">
        <v>39</v>
      </c>
      <c r="D94" s="1"/>
      <c r="E94" s="13" t="s">
        <v>17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 x14ac:dyDescent="0.25">
      <c r="A95" s="12"/>
      <c r="B95" s="17">
        <v>1</v>
      </c>
      <c r="C95" s="16">
        <f>-0.02962199548*0.8</f>
        <v>-2.3697596384E-2</v>
      </c>
      <c r="D95" s="1"/>
      <c r="E95" s="18">
        <f>B95*C95</f>
        <v>-2.3697596384E-2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9.5" customHeight="1" x14ac:dyDescent="0.2">
      <c r="A97" s="2"/>
      <c r="B97" s="23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" x14ac:dyDescent="0.25">
      <c r="A98" s="12"/>
      <c r="B98" s="1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 x14ac:dyDescent="0.25">
      <c r="A99" s="12"/>
      <c r="B99" s="1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" x14ac:dyDescent="0.25">
      <c r="A101" s="12"/>
      <c r="B101" s="1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" x14ac:dyDescent="0.25">
      <c r="A102" s="84">
        <v>3</v>
      </c>
      <c r="B102" s="85" t="s">
        <v>146</v>
      </c>
      <c r="C102" s="8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 x14ac:dyDescent="0.25">
      <c r="A103" s="87"/>
      <c r="B103" s="88" t="s">
        <v>147</v>
      </c>
      <c r="C103" s="8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 x14ac:dyDescent="0.25">
      <c r="A104" s="87"/>
      <c r="B104" s="88" t="str">
        <f>'1.1. Usos suelo'!A2</f>
        <v>Chopera</v>
      </c>
      <c r="C104" s="8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 x14ac:dyDescent="0.25">
      <c r="A105" s="87"/>
      <c r="B105" s="88" t="str">
        <f>'1.1. Usos suelo'!A3</f>
        <v>Coníferas</v>
      </c>
      <c r="C105" s="8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 x14ac:dyDescent="0.25">
      <c r="A106" s="87"/>
      <c r="B106" s="88" t="str">
        <f>'1.1. Usos suelo'!A4</f>
        <v>Cultivos herbáceos de regadío</v>
      </c>
      <c r="C106" s="8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 x14ac:dyDescent="0.25">
      <c r="A107" s="87"/>
      <c r="B107" s="88" t="str">
        <f>'1.1. Usos suelo'!A5</f>
        <v>Cultivos herbáceos de secano</v>
      </c>
      <c r="C107" s="8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 x14ac:dyDescent="0.25">
      <c r="A108" s="87"/>
      <c r="B108" s="88" t="str">
        <f>'1.1. Usos suelo'!A6</f>
        <v>Arbustos</v>
      </c>
      <c r="C108" s="8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" x14ac:dyDescent="0.25">
      <c r="A109" s="87"/>
      <c r="B109" s="88" t="str">
        <f>'1.1. Usos suelo'!A7</f>
        <v>Olivar de secano</v>
      </c>
      <c r="C109" s="8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 x14ac:dyDescent="0.25">
      <c r="A110" s="87"/>
      <c r="B110" s="88" t="str">
        <f>'1.1. Usos suelo'!A8</f>
        <v>Olivar de regadío</v>
      </c>
      <c r="C110" s="8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 x14ac:dyDescent="0.25">
      <c r="A111" s="87"/>
      <c r="B111" s="88" t="str">
        <f>'1.1. Usos suelo'!A9</f>
        <v>Pradera</v>
      </c>
      <c r="C111" s="8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 x14ac:dyDescent="0.25">
      <c r="A112" s="87"/>
      <c r="B112" s="88" t="str">
        <f>'1.1. Usos suelo'!A10</f>
        <v>Pradera con arbustos</v>
      </c>
      <c r="C112" s="8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" x14ac:dyDescent="0.25">
      <c r="A113" s="87"/>
      <c r="B113" s="88" t="str">
        <f>'1.1. Usos suelo'!A11</f>
        <v>Viñedo de regadío</v>
      </c>
      <c r="C113" s="8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 x14ac:dyDescent="0.25">
      <c r="A114" s="87"/>
      <c r="B114" s="88" t="str">
        <f>'1.1. Usos suelo'!A12</f>
        <v>Viñedo de secano</v>
      </c>
      <c r="C114" s="8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" x14ac:dyDescent="0.25">
      <c r="A115" s="87"/>
      <c r="B115" s="88" t="str">
        <f>'1.1. Usos suelo'!A13</f>
        <v>Frutales de regadío</v>
      </c>
      <c r="C115" s="8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 x14ac:dyDescent="0.25">
      <c r="A116" s="87"/>
      <c r="B116" s="88" t="str">
        <f>'1.1. Usos suelo'!A14</f>
        <v>Frutales de secano</v>
      </c>
      <c r="C116" s="8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 x14ac:dyDescent="0.25">
      <c r="A117" s="87"/>
      <c r="B117" s="88" t="str">
        <f>'1.1. Usos suelo'!A15</f>
        <v>Cultivos hortícolas</v>
      </c>
      <c r="C117" s="8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 x14ac:dyDescent="0.25">
      <c r="A118" s="87"/>
      <c r="B118" s="88" t="str">
        <f>'1.1. Usos suelo'!A16</f>
        <v>Coníferas y eucalipto</v>
      </c>
      <c r="C118" s="8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 x14ac:dyDescent="0.25">
      <c r="A119" s="87"/>
      <c r="B119" s="88" t="str">
        <f>'1.1. Usos suelo'!A17</f>
        <v>Viñedo con frutales</v>
      </c>
      <c r="C119" s="8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 x14ac:dyDescent="0.25">
      <c r="A120" s="87"/>
      <c r="B120" s="88" t="str">
        <f>'1.1. Usos suelo'!A18</f>
        <v>Pastos naturales</v>
      </c>
      <c r="C120" s="8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 x14ac:dyDescent="0.25">
      <c r="A121" s="87"/>
      <c r="B121" s="86"/>
      <c r="C121" s="8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" x14ac:dyDescent="0.25">
      <c r="A996" s="1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" x14ac:dyDescent="0.25">
      <c r="A997" s="1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" x14ac:dyDescent="0.25">
      <c r="A998" s="1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" x14ac:dyDescent="0.25">
      <c r="A999" s="1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" x14ac:dyDescent="0.25">
      <c r="A1000" s="1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" x14ac:dyDescent="0.25">
      <c r="A1001" s="12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" x14ac:dyDescent="0.25">
      <c r="A1002" s="12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" x14ac:dyDescent="0.25">
      <c r="A1003" s="12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5" x14ac:dyDescent="0.25">
      <c r="A1004" s="12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5" x14ac:dyDescent="0.25">
      <c r="A1005" s="12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5" x14ac:dyDescent="0.25">
      <c r="A1006" s="12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5" x14ac:dyDescent="0.25">
      <c r="A1007" s="12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5" x14ac:dyDescent="0.25">
      <c r="A1008" s="12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5" x14ac:dyDescent="0.25">
      <c r="A1009" s="12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5" x14ac:dyDescent="0.25">
      <c r="A1010" s="12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5" x14ac:dyDescent="0.25">
      <c r="A1011" s="12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5" x14ac:dyDescent="0.25">
      <c r="A1012" s="12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5" x14ac:dyDescent="0.25">
      <c r="A1013" s="12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5" x14ac:dyDescent="0.25">
      <c r="A1014" s="12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5" x14ac:dyDescent="0.25">
      <c r="A1015" s="12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5" x14ac:dyDescent="0.25">
      <c r="A1016" s="12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5" x14ac:dyDescent="0.25">
      <c r="A1017" s="12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5" x14ac:dyDescent="0.25">
      <c r="A1018" s="12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5" x14ac:dyDescent="0.25">
      <c r="A1019" s="12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5" x14ac:dyDescent="0.25">
      <c r="A1020" s="12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5" x14ac:dyDescent="0.25">
      <c r="A1021" s="12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5" x14ac:dyDescent="0.25">
      <c r="A1022" s="12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15" x14ac:dyDescent="0.25">
      <c r="A1023" s="12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15" x14ac:dyDescent="0.25">
      <c r="A1024" s="12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15" x14ac:dyDescent="0.25">
      <c r="A1025" s="12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15" x14ac:dyDescent="0.25">
      <c r="A1026" s="12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15" x14ac:dyDescent="0.25">
      <c r="A1027" s="12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15" x14ac:dyDescent="0.25">
      <c r="A1028" s="12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15" x14ac:dyDescent="0.25">
      <c r="A1029" s="12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15" x14ac:dyDescent="0.25">
      <c r="A1030" s="12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15" x14ac:dyDescent="0.25">
      <c r="A1031" s="12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15" x14ac:dyDescent="0.25">
      <c r="A1032" s="12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15" x14ac:dyDescent="0.25">
      <c r="A1033" s="12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15" x14ac:dyDescent="0.25">
      <c r="A1034" s="12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15" x14ac:dyDescent="0.25">
      <c r="A1035" s="12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15" x14ac:dyDescent="0.25">
      <c r="A1036" s="12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15" x14ac:dyDescent="0.25">
      <c r="A1037" s="12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15" x14ac:dyDescent="0.25">
      <c r="A1038" s="12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15" x14ac:dyDescent="0.25">
      <c r="A1039" s="12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15" x14ac:dyDescent="0.25">
      <c r="A1040" s="12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15" x14ac:dyDescent="0.25">
      <c r="A1041" s="12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15" x14ac:dyDescent="0.25">
      <c r="A1042" s="12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15" x14ac:dyDescent="0.25">
      <c r="A1043" s="12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15" x14ac:dyDescent="0.25">
      <c r="A1044" s="12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15" x14ac:dyDescent="0.25">
      <c r="A1045" s="12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15" x14ac:dyDescent="0.25">
      <c r="A1046" s="12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15" x14ac:dyDescent="0.25">
      <c r="A1047" s="12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15" x14ac:dyDescent="0.25">
      <c r="A1048" s="12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15" x14ac:dyDescent="0.25">
      <c r="A1049" s="12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15" x14ac:dyDescent="0.25">
      <c r="A1050" s="12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15" x14ac:dyDescent="0.25">
      <c r="A1051" s="12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15" x14ac:dyDescent="0.25">
      <c r="A1052" s="12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</sheetData>
  <phoneticPr fontId="17" type="noConversion"/>
  <conditionalFormatting sqref="C7">
    <cfRule type="notContainsBlanks" dxfId="1" priority="1">
      <formula>LEN(TRIM(C7))&gt;0</formula>
    </cfRule>
  </conditionalFormatting>
  <conditionalFormatting sqref="D7">
    <cfRule type="notContainsBlanks" dxfId="0" priority="2">
      <formula>LEN(TRIM(D7))&gt;0</formula>
    </cfRule>
  </conditionalFormatting>
  <dataValidations count="3">
    <dataValidation type="list" allowBlank="1" showInputMessage="1" showErrorMessage="1" sqref="G13">
      <formula1>"Choperas,Arboles"</formula1>
    </dataValidation>
    <dataValidation type="list" allowBlank="1" showInputMessage="1" showErrorMessage="1" sqref="G7">
      <formula1>$B$104:$B$120</formula1>
    </dataValidation>
    <dataValidation type="list" showInputMessage="1" showErrorMessage="1" sqref="C7">
      <formula1>$B$104:$B$120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workbookViewId="0">
      <selection activeCell="A2" sqref="A2:A18"/>
    </sheetView>
  </sheetViews>
  <sheetFormatPr baseColWidth="10" defaultColWidth="14.42578125" defaultRowHeight="15.75" customHeight="1" x14ac:dyDescent="0.2"/>
  <cols>
    <col min="1" max="1" width="40.5703125" customWidth="1"/>
  </cols>
  <sheetData>
    <row r="1" spans="1:26" ht="15.75" customHeight="1" x14ac:dyDescent="0.25">
      <c r="A1" s="1"/>
      <c r="B1" s="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5">
      <c r="A2" s="6" t="s">
        <v>1</v>
      </c>
      <c r="B2" s="3">
        <v>18.66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25">
      <c r="A3" s="6" t="s">
        <v>5</v>
      </c>
      <c r="B3" s="3">
        <v>19.239999999999998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5">
      <c r="A4" s="6" t="s">
        <v>6</v>
      </c>
      <c r="B4" s="3">
        <v>36.75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x14ac:dyDescent="0.25">
      <c r="A5" s="6" t="s">
        <v>7</v>
      </c>
      <c r="B5" s="3">
        <v>13.45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x14ac:dyDescent="0.25">
      <c r="A6" s="6" t="s">
        <v>8</v>
      </c>
      <c r="B6" s="3">
        <v>4.5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x14ac:dyDescent="0.25">
      <c r="A7" s="6" t="s">
        <v>9</v>
      </c>
      <c r="B7" s="3">
        <v>6.59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x14ac:dyDescent="0.25">
      <c r="A8" s="6" t="s">
        <v>10</v>
      </c>
      <c r="B8" s="3">
        <v>20.12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x14ac:dyDescent="0.25">
      <c r="A9" s="6" t="s">
        <v>11</v>
      </c>
      <c r="B9" s="3">
        <v>8.82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x14ac:dyDescent="0.25">
      <c r="A10" s="6" t="s">
        <v>12</v>
      </c>
      <c r="B10" s="3">
        <v>5.94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25">
      <c r="A11" s="6" t="s">
        <v>13</v>
      </c>
      <c r="B11" s="3">
        <v>19.11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x14ac:dyDescent="0.25">
      <c r="A12" s="6" t="s">
        <v>14</v>
      </c>
      <c r="B12" s="3">
        <v>6.26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5">
      <c r="A13" s="6" t="s">
        <v>15</v>
      </c>
      <c r="B13" s="3">
        <v>21.92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25">
      <c r="A14" s="6" t="s">
        <v>16</v>
      </c>
      <c r="B14" s="3">
        <v>6.3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5">
      <c r="A15" s="6" t="s">
        <v>18</v>
      </c>
      <c r="B15" s="3">
        <v>12.58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5">
      <c r="A16" s="6" t="s">
        <v>19</v>
      </c>
      <c r="B16" s="3">
        <v>31.26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 s="6" t="s">
        <v>20</v>
      </c>
      <c r="B17" s="3">
        <v>6.28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 s="6" t="s">
        <v>21</v>
      </c>
      <c r="B18" s="3">
        <v>6.33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7"/>
  <sheetViews>
    <sheetView tabSelected="1" workbookViewId="0">
      <selection activeCell="C7" sqref="C7"/>
    </sheetView>
  </sheetViews>
  <sheetFormatPr baseColWidth="10" defaultColWidth="14.42578125" defaultRowHeight="15.75" customHeight="1" x14ac:dyDescent="0.2"/>
  <cols>
    <col min="1" max="1" width="18" customWidth="1"/>
    <col min="2" max="2" width="18.85546875" customWidth="1"/>
    <col min="3" max="3" width="21.140625" customWidth="1"/>
    <col min="5" max="5" width="24.5703125" customWidth="1"/>
    <col min="6" max="6" width="20" customWidth="1"/>
    <col min="7" max="7" width="18" customWidth="1"/>
    <col min="10" max="10" width="19.7109375" customWidth="1"/>
  </cols>
  <sheetData>
    <row r="1" spans="1:256" ht="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56" ht="15" x14ac:dyDescent="0.25">
      <c r="A2" s="1"/>
      <c r="B2" s="7" t="s">
        <v>2</v>
      </c>
      <c r="C2" s="8"/>
      <c r="D2" s="10">
        <f>SUM(H5:H6)</f>
        <v>0.65254245700000002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56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56" ht="15" x14ac:dyDescent="0.25">
      <c r="A4" s="1"/>
      <c r="B4" s="13" t="s">
        <v>22</v>
      </c>
      <c r="C4" s="13" t="s">
        <v>23</v>
      </c>
      <c r="D4" s="13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56" ht="15" x14ac:dyDescent="0.25">
      <c r="A5" s="13" t="s">
        <v>29</v>
      </c>
      <c r="B5" s="1">
        <f>C5*3.5</f>
        <v>3.5</v>
      </c>
      <c r="C5" s="13">
        <v>1</v>
      </c>
      <c r="D5" s="16">
        <f>0.132*365</f>
        <v>48.18</v>
      </c>
      <c r="E5" s="13">
        <v>1.02</v>
      </c>
      <c r="F5" s="13">
        <v>0.27</v>
      </c>
      <c r="G5" s="1">
        <f>B5*D5*E5*F5</f>
        <v>46.440702000000002</v>
      </c>
      <c r="H5" s="1">
        <f>G5*3.5/1000</f>
        <v>0.162542457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56" ht="15" x14ac:dyDescent="0.25">
      <c r="A6" s="13" t="s">
        <v>35</v>
      </c>
      <c r="B6" s="1">
        <f>C6*3.5</f>
        <v>3.5</v>
      </c>
      <c r="C6" s="13">
        <v>1</v>
      </c>
      <c r="D6" s="13"/>
      <c r="E6" s="13"/>
      <c r="F6" s="13"/>
      <c r="G6" s="1">
        <f>H6/3.5*1000</f>
        <v>139.99999999999997</v>
      </c>
      <c r="H6" s="1">
        <f>0.49*C6</f>
        <v>0.49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56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56" ht="15" x14ac:dyDescent="0.25">
      <c r="A8" s="1"/>
      <c r="B8" s="7" t="s">
        <v>40</v>
      </c>
      <c r="C8" s="8"/>
      <c r="D8" s="10">
        <f>F13+F14+F15+F19+F20+F21+J13+J14+J15+J19+J20+J21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56" ht="15" x14ac:dyDescent="0.25">
      <c r="A9" s="1"/>
      <c r="B9" s="1"/>
      <c r="C9" s="1"/>
      <c r="D9" s="1"/>
      <c r="E9" s="1"/>
      <c r="F9" s="1"/>
      <c r="G9" s="89" t="s">
        <v>26</v>
      </c>
      <c r="H9" s="89"/>
      <c r="I9" s="8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56" thickBot="1" x14ac:dyDescent="0.3">
      <c r="A10" s="1"/>
      <c r="B10" s="1"/>
      <c r="G10" s="69" t="s">
        <v>43</v>
      </c>
      <c r="H10" s="70" t="s">
        <v>137</v>
      </c>
      <c r="I10" s="70" t="s">
        <v>138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56" thickBot="1" x14ac:dyDescent="0.3">
      <c r="A11" s="60" t="s">
        <v>131</v>
      </c>
      <c r="B11" s="1"/>
      <c r="C11" s="13"/>
      <c r="D11" s="1"/>
      <c r="E11" s="14"/>
      <c r="F11" s="14"/>
      <c r="G11" s="71">
        <v>0.20399999999999999</v>
      </c>
      <c r="H11" s="71">
        <v>0</v>
      </c>
      <c r="I11" s="71">
        <v>0.28699999999999998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56" thickBot="1" x14ac:dyDescent="0.3">
      <c r="A12" s="60"/>
      <c r="B12" s="58" t="s">
        <v>133</v>
      </c>
      <c r="C12" s="58" t="s">
        <v>134</v>
      </c>
      <c r="D12" s="58" t="s">
        <v>135</v>
      </c>
      <c r="E12" s="73" t="s">
        <v>136</v>
      </c>
      <c r="F12" s="77" t="s">
        <v>143</v>
      </c>
      <c r="G12" s="90" t="s">
        <v>38</v>
      </c>
      <c r="H12" s="91"/>
      <c r="I12" s="92"/>
      <c r="J12" s="77" t="s">
        <v>144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56" ht="30.75" thickBot="1" x14ac:dyDescent="0.3">
      <c r="A13" s="58" t="s">
        <v>128</v>
      </c>
      <c r="B13" s="58">
        <f>47.4*102.4</f>
        <v>4853.76</v>
      </c>
      <c r="C13" s="61">
        <f>5.9*102.4</f>
        <v>604.16000000000008</v>
      </c>
      <c r="D13" s="61">
        <f>13.2*102.4</f>
        <v>1351.68</v>
      </c>
      <c r="E13" s="74">
        <f>13141*0.266</f>
        <v>3495.5060000000003</v>
      </c>
      <c r="F13" s="78">
        <f>(C13+D13+E13)*0.27*(G13+H13+I13)/1000</f>
        <v>0</v>
      </c>
      <c r="G13" s="75"/>
      <c r="H13" s="72"/>
      <c r="I13" s="79"/>
      <c r="J13" s="77">
        <f>((B13*G13*$G$11)+(B13*I13*$I$11))/1000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thickBot="1" x14ac:dyDescent="0.3">
      <c r="A14" s="59" t="s">
        <v>129</v>
      </c>
      <c r="B14" s="59">
        <f>50.6*102.4</f>
        <v>5181.4400000000005</v>
      </c>
      <c r="C14" s="62">
        <v>0</v>
      </c>
      <c r="D14" s="62">
        <f>13.1*102.4</f>
        <v>1341.44</v>
      </c>
      <c r="E14" s="74">
        <f>13141*0.266</f>
        <v>3495.5060000000003</v>
      </c>
      <c r="F14" s="78">
        <f>(C14+D14+E14)*0.27*(G14+H14+I14)/1000</f>
        <v>0</v>
      </c>
      <c r="G14" s="76"/>
      <c r="H14" s="17"/>
      <c r="I14" s="80"/>
      <c r="J14" s="77">
        <f>((B14*G14*$G$11)+(B14*I14*$I$11))/1000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56" thickBot="1" x14ac:dyDescent="0.3">
      <c r="A15" s="59" t="s">
        <v>130</v>
      </c>
      <c r="B15" s="59">
        <f>77.1*102.4</f>
        <v>7895.04</v>
      </c>
      <c r="C15" s="62">
        <v>0</v>
      </c>
      <c r="D15" s="62">
        <f>13.8*102.4</f>
        <v>1413.1200000000001</v>
      </c>
      <c r="E15" s="74">
        <f>13141*0.266</f>
        <v>3495.5060000000003</v>
      </c>
      <c r="F15" s="78">
        <f>(C15+D15+E15)*0.27*(G15+H15+I15)/1000</f>
        <v>0</v>
      </c>
      <c r="G15" s="76"/>
      <c r="H15" s="17"/>
      <c r="I15" s="80"/>
      <c r="J15" s="77">
        <f>((B15*G15*$G$11)+(B15*I15*$I$11))/1000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56" ht="15" x14ac:dyDescent="0.25">
      <c r="A16" s="1"/>
      <c r="B16" s="1"/>
      <c r="E16" s="64"/>
      <c r="G16" s="89" t="s">
        <v>26</v>
      </c>
      <c r="H16" s="89"/>
      <c r="I16" s="8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56" thickBot="1" x14ac:dyDescent="0.3">
      <c r="A17" s="60" t="s">
        <v>132</v>
      </c>
      <c r="B17" s="1"/>
      <c r="C17" s="13"/>
      <c r="D17" s="1"/>
      <c r="E17" s="65"/>
      <c r="F17" s="14"/>
      <c r="G17" s="69" t="s">
        <v>43</v>
      </c>
      <c r="H17" s="70" t="s">
        <v>137</v>
      </c>
      <c r="I17" s="70" t="s">
        <v>138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56" thickBot="1" x14ac:dyDescent="0.3">
      <c r="A18" s="60"/>
      <c r="B18" s="58" t="s">
        <v>133</v>
      </c>
      <c r="C18" s="58" t="s">
        <v>134</v>
      </c>
      <c r="D18" s="58" t="s">
        <v>135</v>
      </c>
      <c r="E18" s="58" t="s">
        <v>136</v>
      </c>
      <c r="F18" s="77" t="s">
        <v>143</v>
      </c>
      <c r="G18" s="91" t="s">
        <v>38</v>
      </c>
      <c r="H18" s="91"/>
      <c r="I18" s="91"/>
      <c r="J18" s="77" t="s">
        <v>144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56" ht="30.75" thickBot="1" x14ac:dyDescent="0.3">
      <c r="A19" s="58" t="s">
        <v>128</v>
      </c>
      <c r="B19" s="58">
        <f>15*102.4</f>
        <v>1536</v>
      </c>
      <c r="C19" s="61">
        <v>0</v>
      </c>
      <c r="D19" s="61">
        <f>13.2*102.4</f>
        <v>1351.68</v>
      </c>
      <c r="E19" s="74">
        <f>13141*0.266</f>
        <v>3495.5060000000003</v>
      </c>
      <c r="F19" s="78">
        <f>(C19+D19+E19)*0.27*(G19+H19+I19)/1000</f>
        <v>0</v>
      </c>
      <c r="G19" s="17"/>
      <c r="H19" s="17"/>
      <c r="I19" s="17"/>
      <c r="J19" s="77">
        <f>((B19*G19*$G$11)+(B19*I19*$I$11))/1000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thickBot="1" x14ac:dyDescent="0.3">
      <c r="A20" s="59" t="s">
        <v>129</v>
      </c>
      <c r="B20" s="59">
        <f>22*102.4</f>
        <v>2252.8000000000002</v>
      </c>
      <c r="C20" s="62">
        <v>0</v>
      </c>
      <c r="D20" s="62">
        <f>13.1*102.4</f>
        <v>1341.44</v>
      </c>
      <c r="E20" s="74">
        <f>13141*0.266</f>
        <v>3495.5060000000003</v>
      </c>
      <c r="F20" s="78">
        <f>(C20+D20+E20)*0.27*(G20+H20+I20)/1000</f>
        <v>0</v>
      </c>
      <c r="G20" s="17"/>
      <c r="H20" s="17"/>
      <c r="I20" s="17"/>
      <c r="J20" s="77">
        <f>((B20*G20*$G$11)+(B20*I20*$I$11))/1000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56" thickBot="1" x14ac:dyDescent="0.3">
      <c r="A21" s="59" t="s">
        <v>130</v>
      </c>
      <c r="B21" s="59">
        <f>22*102.4</f>
        <v>2252.8000000000002</v>
      </c>
      <c r="C21" s="62">
        <v>0</v>
      </c>
      <c r="D21" s="62">
        <f>13.8*102.4</f>
        <v>1413.1200000000001</v>
      </c>
      <c r="E21" s="74">
        <f>13141*0.266</f>
        <v>3495.5060000000003</v>
      </c>
      <c r="F21" s="78">
        <f>(C21+D21+E21)*0.27*(G21+H21+I21)/1000</f>
        <v>0</v>
      </c>
      <c r="G21" s="17"/>
      <c r="H21" s="17"/>
      <c r="I21" s="17"/>
      <c r="J21" s="77">
        <f>((B21*G21*$G$11)+(B21*I21*$I$11))/1000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56" ht="15" x14ac:dyDescent="0.25">
      <c r="A22" s="63"/>
      <c r="B22" s="63"/>
      <c r="C22" s="63"/>
      <c r="D22" s="63"/>
      <c r="E22" s="14"/>
      <c r="F22" s="14"/>
      <c r="G22" s="1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56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56" ht="15" x14ac:dyDescent="0.25">
      <c r="A24" s="1"/>
      <c r="B24" s="21" t="s">
        <v>44</v>
      </c>
      <c r="C24" s="8"/>
      <c r="D24" s="10">
        <f>H26</f>
        <v>0.88549999999999995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56" ht="15" x14ac:dyDescent="0.25">
      <c r="A25" s="1"/>
      <c r="B25" s="1"/>
      <c r="C25" s="13" t="s">
        <v>23</v>
      </c>
      <c r="D25" s="1"/>
      <c r="E25" s="13" t="s">
        <v>45</v>
      </c>
      <c r="F25" s="1"/>
      <c r="G25" s="1"/>
      <c r="H25" s="14" t="s">
        <v>28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56" ht="15" x14ac:dyDescent="0.25">
      <c r="A26" s="1"/>
      <c r="B26" s="1"/>
      <c r="C26" s="13">
        <v>1</v>
      </c>
      <c r="D26" s="1"/>
      <c r="E26" s="13">
        <v>253</v>
      </c>
      <c r="F26" s="1"/>
      <c r="G26" s="1"/>
      <c r="H26" s="1">
        <f>C26*E26*3.5/1000</f>
        <v>0.88549999999999995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56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56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56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56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56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56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4">
    <mergeCell ref="G9:I9"/>
    <mergeCell ref="G12:I12"/>
    <mergeCell ref="G18:I18"/>
    <mergeCell ref="G16:I16"/>
  </mergeCells>
  <phoneticPr fontId="1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.75" customHeight="1" x14ac:dyDescent="0.2"/>
  <cols>
    <col min="5" max="5" width="17.5703125" customWidth="1"/>
  </cols>
  <sheetData>
    <row r="1" spans="1:26" ht="15" x14ac:dyDescent="0.25">
      <c r="A1" s="12"/>
      <c r="B1" s="1"/>
      <c r="C1" s="1"/>
      <c r="D1" s="1"/>
      <c r="E1" s="1"/>
      <c r="F1" s="1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5.75" customHeight="1" x14ac:dyDescent="0.2">
      <c r="A2" s="2" t="s">
        <v>58</v>
      </c>
      <c r="B2" s="31" t="s">
        <v>59</v>
      </c>
      <c r="C2" s="5"/>
      <c r="D2" s="5"/>
      <c r="E2" s="5"/>
      <c r="F2" s="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" x14ac:dyDescent="0.25">
      <c r="A3" s="12"/>
      <c r="B3" s="1"/>
      <c r="C3" s="13"/>
      <c r="D3" s="1"/>
      <c r="E3" s="1"/>
      <c r="F3" s="1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5" x14ac:dyDescent="0.25">
      <c r="A4" s="12"/>
      <c r="B4" s="1"/>
      <c r="C4" s="4" t="s">
        <v>92</v>
      </c>
      <c r="D4" s="1"/>
      <c r="E4" s="1"/>
      <c r="F4" s="1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5" x14ac:dyDescent="0.25">
      <c r="A5" s="12"/>
      <c r="B5" s="1"/>
      <c r="C5" s="1"/>
      <c r="D5" s="33" t="s">
        <v>93</v>
      </c>
      <c r="E5" s="34" t="s">
        <v>94</v>
      </c>
      <c r="F5" s="34" t="s">
        <v>95</v>
      </c>
      <c r="G5" s="35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" x14ac:dyDescent="0.25">
      <c r="A6" s="12"/>
      <c r="B6" s="24"/>
      <c r="C6" s="1"/>
      <c r="D6" s="36">
        <v>0.1</v>
      </c>
      <c r="E6" s="37" t="s">
        <v>96</v>
      </c>
      <c r="F6" s="38">
        <v>7</v>
      </c>
      <c r="G6" s="38">
        <f>D6*F6</f>
        <v>0.70000000000000007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" x14ac:dyDescent="0.25">
      <c r="A7" s="12"/>
      <c r="B7" s="24"/>
      <c r="C7" s="1"/>
      <c r="D7" s="39">
        <v>0.2</v>
      </c>
      <c r="E7" s="37" t="s">
        <v>8</v>
      </c>
      <c r="F7" s="38">
        <v>4.3</v>
      </c>
      <c r="G7" s="38">
        <f>D7*F7</f>
        <v>0.86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5" x14ac:dyDescent="0.25">
      <c r="A8" s="1"/>
      <c r="B8" s="1"/>
      <c r="C8" s="1"/>
      <c r="D8" s="40">
        <v>0.6</v>
      </c>
      <c r="E8" s="37" t="s">
        <v>97</v>
      </c>
      <c r="F8" s="38">
        <v>1.8</v>
      </c>
      <c r="G8" s="38">
        <f>D8*F8</f>
        <v>1.08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5" x14ac:dyDescent="0.25">
      <c r="A9" s="1"/>
      <c r="B9" s="1"/>
      <c r="C9" s="1"/>
      <c r="D9" s="41">
        <v>0.1</v>
      </c>
      <c r="E9" s="37" t="s">
        <v>98</v>
      </c>
      <c r="F9" s="38">
        <v>4.7</v>
      </c>
      <c r="G9" s="38">
        <f>D9*F9</f>
        <v>0.47000000000000003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5.75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.75" customHeight="1" x14ac:dyDescent="0.2">
      <c r="A11" s="30"/>
      <c r="B11" s="30"/>
      <c r="C11" s="30"/>
      <c r="D11" s="30"/>
      <c r="E11" s="30"/>
      <c r="F11" s="42" t="s">
        <v>99</v>
      </c>
      <c r="G11" s="42">
        <f>SUM(G6:G9)</f>
        <v>3.1100000000000003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7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" x14ac:dyDescent="0.25">
      <c r="A13" s="30"/>
      <c r="B13" s="30"/>
      <c r="C13" s="4" t="s">
        <v>100</v>
      </c>
      <c r="D13" s="1"/>
      <c r="E13" s="1"/>
      <c r="F13" s="30"/>
      <c r="G13" s="30">
        <f>G11*0.2</f>
        <v>0.62200000000000011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5.75" customHeight="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5.75" customHeight="1" x14ac:dyDescent="0.2">
      <c r="A15" s="30"/>
      <c r="B15" s="30"/>
      <c r="C15" s="30"/>
      <c r="D15" s="30"/>
      <c r="E15" s="30"/>
      <c r="F15" s="42" t="s">
        <v>101</v>
      </c>
      <c r="G15" s="30">
        <f>G11-G13</f>
        <v>2.4880000000000004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75" customHeight="1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5.75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5.7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5.75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.75" customHeigh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2.7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2.7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2.75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2.75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2.75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2.75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2.75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2.75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2.75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2.75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2.7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2.7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2.75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2.75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2.75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2.75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2.75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2.75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2.75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2.75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2.75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2.75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2.75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2.75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2.75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2.75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2.75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2.75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2.75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2.75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2.75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2.75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2.75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2.75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2.75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2.75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2.75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2.75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2.75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2.75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2.75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2.75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2.75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2.75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2.75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2.75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2.75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2.75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2.75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2.75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2.75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2.75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2.75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2.75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2.75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2.75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2.75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2.75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2.75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2.75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2.75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2.75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2.75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2.75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2.75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2.75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2.75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2.75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2.75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2.75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2.75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2.75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2.75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2.75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2.75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2.75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2.75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2.75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2.75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2.75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2.75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2.75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2.75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2.75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2.75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2.75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2.75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2.75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2.75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2.75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2.75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2.75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2.75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2.75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2.75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2.75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2.75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2.75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2.75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2.75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2.75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2.75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2.75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2.75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2.75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2.75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2.75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2.75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2.75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2.75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2.75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2.75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2.75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2.75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2.75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2.75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2.75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2.75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2.75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2.75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2.75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2.75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2.75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2.75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2.75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2.75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2.75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2.75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2.75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2.75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2.75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2.75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2.75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2.75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2.75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2.75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2.75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2.75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2.75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2.75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2.75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2.75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2.75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2.75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2.75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2.75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2.75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2.75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2.75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2.75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2.75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2.75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2.75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2.75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2.75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2.75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2.75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2.75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2.75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2.75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2.75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2.75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2.75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2.75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2.75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2.75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2.75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2.75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2.75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2.75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2.75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2.75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2.75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2.75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2.75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2.75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2.75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2.75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2.75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2.75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2.75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2.75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2.75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2.75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2.75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2.75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2.75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2.75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2.75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2.75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2.75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2.75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2.75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2.75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2.75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2.75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2.75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2.75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2.75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2.75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2.75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2.75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2.75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2.75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2.75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2.75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2.75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2.75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2.75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2.75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2.75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2.75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2.75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2.75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2.75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2.75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2.75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2.75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2.75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2.75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2.75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2.75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2.75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2.75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2.75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2.75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2.75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2.75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2.75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2.75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2.75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2.75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2.75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2.75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2.75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2.75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2.75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2.75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2.75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2.75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2.75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2.75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2.75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2.75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2.75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2.75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2.75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2.75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2.75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2.75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2.75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2.75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2.75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2.75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2.75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2.75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2.75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2.75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2.75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2.75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2.75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2.75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2.75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2.75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2.75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2.75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2.75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2.75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2.75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2.75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2.75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2.75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2.75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2.75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2.75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2.75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2.75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2.75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2.75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2.75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2.75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2.75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2.75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2.75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2.75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2.75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2.75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2.75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2.75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2.75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2.75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2.75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2.75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2.75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2.75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2.75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2.75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2.75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2.75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2.75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2.75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2.75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2.75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2.75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2.75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2.75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2.75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2.75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2.75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2.75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2.75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2.75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2.75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2.75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2.75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2.75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2.75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2.75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2.75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2.75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2.75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2.75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2.75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2.75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2.75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2.75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2.75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2.75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2.75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2.75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2.75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2.75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2.75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2.75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2.75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2.75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2.75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2.75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2.75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2.75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2.75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2.75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2.75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2.75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2.75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2.75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2.75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2.75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2.75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2.75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2.75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2.75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2.75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2.75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2.75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2.75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2.75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2.75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2.75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2.75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2.75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2.75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2.75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2.75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2.75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2.75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2.75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2.75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2.75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2.75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2.75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2.75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2.75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2.75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2.75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2.75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2.75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2.75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2.75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2.75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2.75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2.75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2.75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2.75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2.75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2.75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2.75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2.75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2.75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2.75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2.75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2.75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2.75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2.75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2.75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2.75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2.75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2.75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2.75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2.75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2.75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2.75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2.75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2.75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2.75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2.75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2.75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2.75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2.75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2.75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2.75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2.75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2.75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2.75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2.75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2.75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2.75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2.75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2.75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2.75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2.75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2.75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2.75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2.75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2.75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2.75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2.75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2.75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2.75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2.75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2.75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2.75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2.75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2.75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2.75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2.75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2.75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2.75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2.75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2.75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2.75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2.75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2.75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2.75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2.75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2.75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2.75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2.75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2.75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2.75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2.75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2.75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2.75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2.75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2.75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2.75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2.75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2.75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2.75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2.75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2.75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2.75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2.75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2.75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2.75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2.75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2.75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2.75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2.75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2.75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2.75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2.75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2.75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2.75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2.75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2.75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2.75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2.75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2.75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2.75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2.75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2.75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2.75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2.75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2.75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2.75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2.75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2.75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2.75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2.75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2.75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2.75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2.75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2.75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2.75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2.75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2.75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2.75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2.75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2.75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2.75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2.75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2.75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2.75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2.75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2.75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2.75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2.75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2.75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2.75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2.75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2.75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2.75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2.75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2.75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2.75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2.75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2.75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2.75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2.75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2.75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2.75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2.75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2.75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2.75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2.75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2.75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2.75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2.75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2.75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2.75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2.75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2.75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2.75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2.75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2.75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2.75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2.75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2.75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2.75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2.75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2.75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2.75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2.75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2.75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2.75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2.75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2.75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2.75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2.75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2.75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2.75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2.75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2.75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2.75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2.75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2.75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2.75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2.75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2.75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2.75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2.75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2.75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2.75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2.75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2.75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2.75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2.75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2.75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2.75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2.75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2.75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2.75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2.75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2.75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2.75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2.75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2.75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2.75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2.75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2.75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2.75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2.75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2.75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2.75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2.75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2.75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2.75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2.75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2.75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2.75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2.75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2.75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2.75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2.75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2.75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2.75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2.75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2.75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2.75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2.75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2.75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2.75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2.75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2.75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2.75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2.75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2.75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2.75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2.75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2.75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2.75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2.75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2.75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2.75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2.75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2.75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2.75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2.75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2.75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2.75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2.75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2.75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2.75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2.75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2.75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2.75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2.75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2.75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2.75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2.75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2.75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2.75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2.75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2.75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2.75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2.75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2.75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2.75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2.75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2.75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2.75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2.75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2.75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2.75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2.75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2.75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2.75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2.75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2.75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2.75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2.75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2.75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2.75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2.75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2.75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2.75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2.75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2.75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2.75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2.75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2.75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2.75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2.75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2.75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2.75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2.75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2.75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2.75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2.75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2.75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2.75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2.75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2.75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2.75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2.75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2.75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2.75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2.75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2.75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2.75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2.75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2.75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2.75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2.75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2.75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2.75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2.75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2.75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2.75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2.75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2.75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2.75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2.75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2.75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2.75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2.75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2.75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2.75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2.75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2.75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2.75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2.75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2.75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2.75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2.75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2.75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2.75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2.75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2.75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2.75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2.75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2.75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2.75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2.75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2.75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2.75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2.75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2.75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2.75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2.75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2.75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2.75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2.75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2.75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2.75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2.75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2.75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2.75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2.75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2.75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2.75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2.75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2.75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2.75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2.75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2.75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2.75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2.75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2.75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2.75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2.75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2.75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2.75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2.75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2.75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2.75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2.75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2.75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2.75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2.75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2.75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2.75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2.75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2.75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2.75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2.75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2.75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2.75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2.75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2.75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2.75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2.75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2.75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2.75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2.75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2.75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2.75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2.75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2.75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2.75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2.75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2.75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2.75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2.75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2.75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2.75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2.75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2.75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2.75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2.75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2.75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2.75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2.75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2.75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2.75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2.75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2.75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2.75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2.75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2.75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2.75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2.75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2.75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2.75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2.75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2.75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2.75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2.75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2.75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2.75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2.75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2.75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2.75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2.75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2.75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2.75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2.75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2.75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2.75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2.75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2.75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2.75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2.75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2.75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2.75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2.75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2.75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2.75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2.75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2.75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2.75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2.75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2.75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2.75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2.75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2.75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2.75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2.75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2.75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2.75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2.75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2.75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2.75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2.75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2.75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2.75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2.75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2.75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2.75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2.75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2.75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2.75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2.75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2.75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2.75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2.75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2.75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2.75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2.75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2.75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2.75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2.75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2.75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2.75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2.75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2.75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2.75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2.75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2.75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2.75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2.75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2.75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2.75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2.75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2.75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2.75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2.75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2.75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2.75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2.75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2.75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2.75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2.75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2.75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2.75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2.75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2.75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2.75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2.75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2.75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2.75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2.75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2.75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2.75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2.75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2.75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2.75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2.75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2.75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2.75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2.75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2.75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2.75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2.75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2.75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2.75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2.75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2.75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2.75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2.75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2.75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2.75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2.75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2.75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2.75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2.75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2.75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2.75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2.75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2.75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2.75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2.75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2.75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2.75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2.75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2.75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2.75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2.75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2.75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2.75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2.75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2.75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2.75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2.75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2.75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2.75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2.75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2.75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2.75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2.75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2.75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2.75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2.75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2.75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2.75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2.75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2.75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2.75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2.75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2.75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2.75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2.75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2.75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2.75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2.75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2.75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2.75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2.75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2.75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2.75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2.75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2.75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2.75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2.75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2.75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2.75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2.75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2.75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2.75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2.75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2.75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2.75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2.75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2.75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2.75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2.75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2.75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2.75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2.75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2.75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2.75" x14ac:dyDescent="0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2.75" x14ac:dyDescent="0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2.75" x14ac:dyDescent="0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2.75" x14ac:dyDescent="0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2.75" x14ac:dyDescent="0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2.75" x14ac:dyDescent="0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workbookViewId="0">
      <selection activeCell="E26" sqref="E26"/>
    </sheetView>
  </sheetViews>
  <sheetFormatPr baseColWidth="10" defaultColWidth="14.42578125" defaultRowHeight="15.75" customHeight="1" x14ac:dyDescent="0.2"/>
  <cols>
    <col min="3" max="3" width="16.7109375" customWidth="1"/>
    <col min="4" max="4" width="19.5703125" customWidth="1"/>
    <col min="5" max="6" width="15.5703125" customWidth="1"/>
    <col min="7" max="7" width="15.28515625" customWidth="1"/>
    <col min="8" max="8" width="16.28515625" customWidth="1"/>
  </cols>
  <sheetData>
    <row r="1" spans="1:26" ht="15.75" customHeight="1" x14ac:dyDescent="0.2">
      <c r="A1" s="30"/>
      <c r="B1" s="30"/>
      <c r="C1" s="30"/>
      <c r="D1" s="30"/>
      <c r="E1" s="42"/>
      <c r="F1" s="95" t="s">
        <v>102</v>
      </c>
      <c r="G1" s="96"/>
      <c r="H1" s="94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5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5.75" customHeight="1" x14ac:dyDescent="0.2">
      <c r="A3" s="30"/>
      <c r="B3" s="35"/>
      <c r="C3" s="43" t="s">
        <v>103</v>
      </c>
      <c r="D3" s="35"/>
      <c r="E3" s="30"/>
      <c r="F3" s="35"/>
      <c r="G3" s="43" t="s">
        <v>103</v>
      </c>
      <c r="H3" s="35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5.75" customHeight="1" x14ac:dyDescent="0.2">
      <c r="A4" s="30"/>
      <c r="B4" s="44" t="s">
        <v>104</v>
      </c>
      <c r="C4" s="44" t="s">
        <v>105</v>
      </c>
      <c r="D4" s="44" t="s">
        <v>106</v>
      </c>
      <c r="E4" s="30"/>
      <c r="F4" s="44" t="s">
        <v>104</v>
      </c>
      <c r="G4" s="44" t="s">
        <v>105</v>
      </c>
      <c r="H4" s="44" t="s">
        <v>106</v>
      </c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5.75" customHeight="1" x14ac:dyDescent="0.2">
      <c r="A5" s="30"/>
      <c r="B5" s="44" t="s">
        <v>107</v>
      </c>
      <c r="C5" s="44">
        <v>11.6</v>
      </c>
      <c r="D5" s="44">
        <v>7.9</v>
      </c>
      <c r="E5" s="30"/>
      <c r="F5" s="44" t="s">
        <v>107</v>
      </c>
      <c r="G5" s="44">
        <f>C5-C10</f>
        <v>-92.2</v>
      </c>
      <c r="H5" s="44">
        <f>D5-D10</f>
        <v>-65.8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customHeight="1" x14ac:dyDescent="0.2">
      <c r="A6" s="30"/>
      <c r="B6" s="44" t="s">
        <v>108</v>
      </c>
      <c r="C6" s="44">
        <v>18.8</v>
      </c>
      <c r="D6" s="44">
        <v>12.9</v>
      </c>
      <c r="E6" s="30"/>
      <c r="F6" s="44" t="s">
        <v>108</v>
      </c>
      <c r="G6" s="44">
        <f>C6-C10</f>
        <v>-85</v>
      </c>
      <c r="H6" s="44">
        <f>D6-D10</f>
        <v>-60.800000000000004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.75" customHeight="1" x14ac:dyDescent="0.2">
      <c r="A7" s="30"/>
      <c r="B7" s="44" t="s">
        <v>109</v>
      </c>
      <c r="C7" s="44">
        <v>29.2</v>
      </c>
      <c r="D7" s="44">
        <v>20</v>
      </c>
      <c r="E7" s="30"/>
      <c r="F7" s="44" t="s">
        <v>109</v>
      </c>
      <c r="G7" s="44">
        <f>C7-C10</f>
        <v>-74.599999999999994</v>
      </c>
      <c r="H7" s="44">
        <f>D7-D10</f>
        <v>-53.7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5.75" customHeight="1" x14ac:dyDescent="0.2">
      <c r="A8" s="30"/>
      <c r="B8" s="44" t="s">
        <v>110</v>
      </c>
      <c r="C8" s="44">
        <v>44.8</v>
      </c>
      <c r="D8" s="44">
        <v>30.7</v>
      </c>
      <c r="E8" s="30"/>
      <c r="F8" s="44" t="s">
        <v>110</v>
      </c>
      <c r="G8" s="44">
        <f>C8-C10</f>
        <v>-59</v>
      </c>
      <c r="H8" s="44">
        <f>D8-D10</f>
        <v>-43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5.75" customHeight="1" x14ac:dyDescent="0.2">
      <c r="A9" s="30"/>
      <c r="B9" s="44" t="s">
        <v>111</v>
      </c>
      <c r="C9" s="44">
        <v>79.2</v>
      </c>
      <c r="D9" s="44">
        <v>63</v>
      </c>
      <c r="E9" s="30"/>
      <c r="F9" s="44" t="s">
        <v>111</v>
      </c>
      <c r="G9" s="44">
        <f>C9-C10</f>
        <v>-24.599999999999994</v>
      </c>
      <c r="H9" s="44">
        <f>D9-D10</f>
        <v>-10.700000000000003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5.75" customHeight="1" x14ac:dyDescent="0.2">
      <c r="A10" s="30"/>
      <c r="B10" s="44" t="s">
        <v>112</v>
      </c>
      <c r="C10" s="44">
        <v>103.8</v>
      </c>
      <c r="D10" s="44">
        <v>73.7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.75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75" customHeight="1" x14ac:dyDescent="0.2">
      <c r="A12" s="30"/>
      <c r="B12" s="95" t="s">
        <v>113</v>
      </c>
      <c r="C12" s="96"/>
      <c r="D12" s="96"/>
      <c r="E12" s="96"/>
      <c r="F12" s="94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.75" customHeight="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5.75" customHeight="1" x14ac:dyDescent="0.2">
      <c r="A14" s="30"/>
      <c r="B14" s="35"/>
      <c r="C14" s="93" t="s">
        <v>114</v>
      </c>
      <c r="D14" s="94"/>
      <c r="E14" s="44" t="s">
        <v>103</v>
      </c>
      <c r="F14" s="3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5.75" customHeight="1" x14ac:dyDescent="0.2">
      <c r="A15" s="30"/>
      <c r="B15" s="44" t="s">
        <v>104</v>
      </c>
      <c r="C15" s="44" t="s">
        <v>105</v>
      </c>
      <c r="D15" s="44" t="s">
        <v>106</v>
      </c>
      <c r="E15" s="44" t="s">
        <v>105</v>
      </c>
      <c r="F15" s="44" t="s">
        <v>106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75" customHeight="1" x14ac:dyDescent="0.2">
      <c r="A16" s="30"/>
      <c r="B16" s="44" t="s">
        <v>107</v>
      </c>
      <c r="C16" s="45">
        <v>0.1</v>
      </c>
      <c r="D16" s="45">
        <v>0.1</v>
      </c>
      <c r="E16" s="35">
        <f t="shared" ref="E16:F20" si="0">C16*G5</f>
        <v>-9.2200000000000006</v>
      </c>
      <c r="F16" s="35">
        <f t="shared" si="0"/>
        <v>-6.58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75" customHeight="1" x14ac:dyDescent="0.2">
      <c r="A17" s="30"/>
      <c r="B17" s="44" t="s">
        <v>108</v>
      </c>
      <c r="C17" s="46">
        <v>0.2</v>
      </c>
      <c r="D17" s="46">
        <v>0.2</v>
      </c>
      <c r="E17" s="35">
        <f t="shared" si="0"/>
        <v>-17</v>
      </c>
      <c r="F17" s="35">
        <f t="shared" si="0"/>
        <v>-12.160000000000002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5.75" customHeight="1" x14ac:dyDescent="0.2">
      <c r="A18" s="30"/>
      <c r="B18" s="44" t="s">
        <v>109</v>
      </c>
      <c r="C18" s="47">
        <v>0.3</v>
      </c>
      <c r="D18" s="47">
        <v>0.3</v>
      </c>
      <c r="E18" s="35">
        <f t="shared" si="0"/>
        <v>-22.38</v>
      </c>
      <c r="F18" s="35">
        <f t="shared" si="0"/>
        <v>-16.11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5.75" customHeight="1" x14ac:dyDescent="0.2">
      <c r="A19" s="30"/>
      <c r="B19" s="44" t="s">
        <v>110</v>
      </c>
      <c r="C19" s="48">
        <v>0.3</v>
      </c>
      <c r="D19" s="48">
        <v>0.3</v>
      </c>
      <c r="E19" s="35">
        <f t="shared" si="0"/>
        <v>-17.7</v>
      </c>
      <c r="F19" s="35">
        <f t="shared" si="0"/>
        <v>-12.9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5.75" customHeight="1" x14ac:dyDescent="0.2">
      <c r="A20" s="30"/>
      <c r="B20" s="44" t="s">
        <v>111</v>
      </c>
      <c r="C20" s="49">
        <v>0.1</v>
      </c>
      <c r="D20" s="49">
        <v>0.1</v>
      </c>
      <c r="E20" s="35">
        <f t="shared" si="0"/>
        <v>-2.4599999999999995</v>
      </c>
      <c r="F20" s="35">
        <f t="shared" si="0"/>
        <v>-1.0700000000000003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.75" customHeigh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 x14ac:dyDescent="0.2">
      <c r="A22" s="30"/>
      <c r="B22" s="30"/>
      <c r="C22" s="30"/>
      <c r="D22" s="43" t="s">
        <v>115</v>
      </c>
      <c r="E22" s="35">
        <f>SUM(E16:E20)</f>
        <v>-68.759999999999991</v>
      </c>
      <c r="F22" s="35">
        <f>SUM(F16:F20)</f>
        <v>-48.82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 x14ac:dyDescent="0.2">
      <c r="A23" s="30"/>
      <c r="B23" s="30"/>
      <c r="C23" s="30"/>
      <c r="D23" s="3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2.75" x14ac:dyDescent="0.2">
      <c r="A24" s="30"/>
      <c r="B24" s="30"/>
      <c r="C24" s="30"/>
      <c r="D24" s="43" t="s">
        <v>116</v>
      </c>
      <c r="E24" s="50">
        <v>250</v>
      </c>
      <c r="F24" s="50">
        <v>100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2.75" x14ac:dyDescent="0.2">
      <c r="A25" s="30"/>
      <c r="B25" s="30"/>
      <c r="C25" s="30"/>
      <c r="D25" s="32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2.75" x14ac:dyDescent="0.2">
      <c r="A26" s="30"/>
      <c r="B26" s="30"/>
      <c r="C26" s="30"/>
      <c r="D26" s="43" t="s">
        <v>117</v>
      </c>
      <c r="E26" s="51">
        <f>E24*E22/1000</f>
        <v>-17.189999999999998</v>
      </c>
      <c r="F26" s="35">
        <f>F24*F22/1000</f>
        <v>-4.8819999999999997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2.75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2.75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2.75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2.75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2.75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2.75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2.75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2.7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2.7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2.75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2.75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2.75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2.75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2.75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2.75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2.75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2.75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2.75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2.75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2.75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2.75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2.75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2.75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2.75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2.75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2.75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2.75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2.75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2.75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2.75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2.75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2.75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2.75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2.75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2.75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2.75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2.75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2.75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2.75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2.75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2.75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2.75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2.75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2.75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2.75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2.75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2.75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2.75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2.75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2.75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2.75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2.75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2.75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2.75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2.75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2.75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2.75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2.75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2.75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2.75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2.75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2.75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2.75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2.75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2.75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2.75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2.75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2.75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2.75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2.75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2.75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2.75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2.75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2.75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2.75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2.75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2.75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2.75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2.75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2.75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2.75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2.75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2.75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2.75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2.75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2.75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2.75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2.75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2.75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2.75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2.75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2.75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2.75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2.75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2.75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2.75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2.75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2.75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2.75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2.75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2.75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2.75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2.75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2.75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2.75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2.75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2.75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2.75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2.75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2.75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2.75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2.75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2.75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2.75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2.75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2.75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2.75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2.75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2.75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2.75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2.75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2.75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2.75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2.75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2.75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2.75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2.75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2.75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2.75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2.75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2.75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2.75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2.75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2.75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2.75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2.75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2.75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2.75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2.75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2.75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2.75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2.75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2.75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2.75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2.75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2.75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2.75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2.75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2.75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2.75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2.75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2.75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2.75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2.75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2.75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2.75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2.75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2.75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2.75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2.75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2.75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2.75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2.75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2.75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2.75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2.75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2.75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2.75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2.75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2.75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2.75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2.75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2.75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2.75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2.75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2.75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2.75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2.75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2.75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2.75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2.75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2.75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2.75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2.75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2.75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2.75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2.75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2.75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2.75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2.75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2.75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2.75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2.75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2.75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2.75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2.75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2.75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2.75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2.75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2.75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2.75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2.75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2.75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2.75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2.75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2.75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2.75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2.75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2.75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2.75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2.75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2.75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2.75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2.75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2.75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2.75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2.75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2.75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2.75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2.75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2.75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2.75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2.75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2.75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2.75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2.75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2.75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2.75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2.75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2.75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2.75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2.75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2.75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2.75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2.75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2.75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2.75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2.75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2.75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2.75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2.75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2.75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2.75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2.75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2.75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2.75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2.75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2.75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2.75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2.75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2.75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2.75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2.75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2.75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2.75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2.75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2.75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2.75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2.75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2.75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2.75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2.75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2.75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2.75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2.75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2.75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2.75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2.75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2.75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2.75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2.75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2.75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2.75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2.75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2.75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2.75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2.75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2.75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2.75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2.75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2.75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2.75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2.75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2.75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2.75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2.75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2.75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2.75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2.75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2.75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2.75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2.75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2.75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2.75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2.75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2.75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2.75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2.75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2.75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2.75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2.75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2.75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2.75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2.75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2.75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2.75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2.75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2.75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2.75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2.75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2.75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2.75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2.75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2.75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2.75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2.75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2.75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2.75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2.75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2.75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2.75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2.75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2.75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2.75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2.75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2.75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2.75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2.75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2.75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2.75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2.75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2.75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2.75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2.75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2.75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2.75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2.75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2.75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2.75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2.75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2.75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2.75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2.75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2.75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2.75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2.75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2.75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2.75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2.75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2.75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2.75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2.75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2.75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2.75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2.75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2.75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2.75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2.75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2.75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2.75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2.75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2.75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2.75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2.75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2.75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2.75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2.75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2.75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2.75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2.75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2.75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2.75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2.75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2.75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2.75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2.75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2.75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2.75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2.75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2.75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2.75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2.75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2.75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2.75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2.75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2.75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2.75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2.75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2.75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2.75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2.75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2.75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2.75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2.75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2.75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2.75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2.75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2.75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2.75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2.75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2.75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2.75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2.75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2.75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2.75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2.75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2.75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2.75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2.75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2.75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2.75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2.75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2.75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2.75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2.75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2.75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2.75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2.75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2.75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2.75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2.75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2.75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2.75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2.75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2.75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2.75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2.75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2.75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2.75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2.75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2.75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2.75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2.75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2.75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2.75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2.75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2.75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2.75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2.75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2.75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2.75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2.75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2.75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2.75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2.75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2.75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2.75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2.75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2.75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2.75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2.75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2.75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2.75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2.75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2.75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2.75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2.75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2.75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2.75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2.75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2.75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2.75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2.75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2.75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2.75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2.75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2.75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2.75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2.75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2.75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2.75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2.75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2.75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2.75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2.75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2.75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2.75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2.75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2.75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2.75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2.75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2.75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2.75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2.75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2.75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2.75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2.75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2.75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2.75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2.75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2.75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2.75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2.75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2.75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2.75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2.75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2.75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2.75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2.75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2.75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2.75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2.75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2.75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2.75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2.75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2.75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2.75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2.75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2.75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2.75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2.75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2.75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2.75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2.75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2.75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2.75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2.75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2.75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2.75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2.75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2.75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2.75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2.75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2.75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2.75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2.75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2.75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2.75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2.75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2.75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2.75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2.75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2.75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2.75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2.75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2.75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2.75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2.75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2.75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2.75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2.75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2.75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2.75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2.75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2.75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2.75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2.75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2.75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2.75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2.75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2.75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2.75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2.75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2.75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2.75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2.75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2.75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2.75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2.75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2.75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2.75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2.75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2.75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2.75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2.75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2.75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2.75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2.75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2.75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2.75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2.75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2.75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2.75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2.75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2.75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2.75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2.75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2.75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2.75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2.75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2.75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2.75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2.75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2.75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2.75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2.75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2.75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2.75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2.75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2.75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2.75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2.75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2.75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2.75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2.75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2.75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2.75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2.75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2.75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2.75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2.75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2.75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2.75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2.75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2.75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2.75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2.75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2.75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2.75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2.75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2.75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2.75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2.75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2.75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2.75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2.75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2.75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2.75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2.75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2.75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2.75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2.75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2.75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2.75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2.75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2.75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2.75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2.75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2.75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2.75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2.75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2.75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2.75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2.75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2.75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2.75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2.75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2.75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2.75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2.75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2.75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2.75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2.75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2.75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2.75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2.75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2.75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2.75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2.75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2.75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2.75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2.75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2.75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2.75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2.75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2.75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2.75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2.75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2.75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2.75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2.75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2.75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2.75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2.75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2.75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2.75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2.75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2.75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2.75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2.75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2.75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2.75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2.75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2.75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2.75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2.75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2.75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2.75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2.75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2.75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2.75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2.75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2.75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2.75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2.75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2.75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2.75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2.75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2.75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2.75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2.75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2.75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2.75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2.75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2.75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2.75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2.75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2.75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2.75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2.75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2.75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2.75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2.75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2.75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2.75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2.75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2.75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2.75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2.75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2.75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2.75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2.75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2.75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2.75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2.75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2.75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2.75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2.75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2.75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2.75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2.75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2.75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2.75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2.75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2.75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2.75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2.75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2.75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2.75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2.75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2.75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2.75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2.75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2.75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2.75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2.75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2.75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2.75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2.75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2.75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2.75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2.75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2.75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2.75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2.75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2.75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2.75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2.75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2.75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2.75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2.75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2.75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2.75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2.75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2.75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2.75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2.75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2.75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2.75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2.75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2.75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2.75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2.75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2.75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2.75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2.75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2.75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2.75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2.75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2.75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2.75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2.75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2.75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2.75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2.75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2.75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2.75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2.75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2.75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2.75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2.75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2.75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2.75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2.75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2.75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2.75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2.75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2.75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2.75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2.75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2.75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2.75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2.75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2.75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2.75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2.75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2.75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2.75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2.75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2.75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2.75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2.75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2.75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2.75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2.75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2.75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2.75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2.75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2.75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2.75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2.75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2.75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2.75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2.75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2.75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2.75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2.75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2.75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2.75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2.75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2.75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2.75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2.75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2.75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2.75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2.75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2.75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2.75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2.75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2.75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2.75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2.75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2.75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2.75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2.75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2.75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2.75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2.75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2.75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2.75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2.75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2.75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2.75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2.75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2.75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2.75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2.75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2.75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2.75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2.75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2.75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2.75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2.75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2.75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2.75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2.75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2.75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2.75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2.75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2.75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2.75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2.75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2.75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2.75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2.75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2.75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2.75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2.75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2.75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2.75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2.75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2.75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2.75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2.75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2.75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2.75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2.75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2.75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2.75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2.75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2.75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2.75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2.75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2.75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2.75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2.75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2.75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2.75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2.75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2.75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2.75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2.75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2.75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2.75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2.75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2.75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2.75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2.75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2.75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2.75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2.75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2.75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2.75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2.75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2.75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2.75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2.75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2.75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2.75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2.75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2.75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2.75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2.75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2.75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2.75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2.75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2.75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2.75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2.75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2.75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2.75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2.75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2.75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2.75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2.75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2.75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2.75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2.75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2.75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2.75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2.75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2.75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2.75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2.75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2.75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2.75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2.75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2.75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2.75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2.75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2.75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2.75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2.75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2.75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2.75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2.75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2.75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2.75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2.75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2.75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2.75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2.75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2.75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2.75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2.75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2.75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2.75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2.75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2.75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2.75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2.75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2.75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2.75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2.75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2.75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2.75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</sheetData>
  <mergeCells count="3">
    <mergeCell ref="C14:D14"/>
    <mergeCell ref="F1:H1"/>
    <mergeCell ref="B12:F12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workbookViewId="0">
      <selection activeCell="D9" sqref="D9"/>
    </sheetView>
  </sheetViews>
  <sheetFormatPr baseColWidth="10" defaultColWidth="14.42578125" defaultRowHeight="15.75" customHeight="1" x14ac:dyDescent="0.2"/>
  <cols>
    <col min="6" max="6" width="17.85546875" customWidth="1"/>
    <col min="7" max="7" width="18.8554687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5">
      <c r="A2" s="12" t="s">
        <v>78</v>
      </c>
      <c r="B2" s="13" t="s">
        <v>79</v>
      </c>
      <c r="C2" s="1"/>
      <c r="D2" s="1"/>
      <c r="E2" s="1"/>
      <c r="F2" s="1"/>
      <c r="G2" s="5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25">
      <c r="A3" s="12"/>
      <c r="B3" s="1"/>
      <c r="C3" s="1"/>
      <c r="D3" s="1"/>
      <c r="E3" s="1"/>
      <c r="F3" s="1"/>
      <c r="G3" s="97" t="s">
        <v>118</v>
      </c>
      <c r="H3" s="9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5">
      <c r="A4" s="12"/>
      <c r="B4" s="1"/>
      <c r="C4" s="1"/>
      <c r="D4" s="1"/>
      <c r="E4" s="1"/>
      <c r="F4" s="38" t="s">
        <v>119</v>
      </c>
      <c r="G4" s="38" t="s">
        <v>120</v>
      </c>
      <c r="H4" s="38" t="s">
        <v>121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x14ac:dyDescent="0.25">
      <c r="A5" s="12"/>
      <c r="B5" s="1"/>
      <c r="C5" s="37" t="s">
        <v>122</v>
      </c>
      <c r="D5" s="37">
        <v>3.0499999999999999E-2</v>
      </c>
      <c r="E5" s="37" t="s">
        <v>118</v>
      </c>
      <c r="F5" s="17">
        <v>0.4</v>
      </c>
      <c r="G5" s="20">
        <f>D5-D9</f>
        <v>-0.54247000000000001</v>
      </c>
      <c r="H5" s="20">
        <f>F5*G5</f>
        <v>-0.21698800000000001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x14ac:dyDescent="0.25">
      <c r="A6" s="12"/>
      <c r="B6" s="1"/>
      <c r="C6" s="37" t="s">
        <v>123</v>
      </c>
      <c r="D6" s="37">
        <v>0.12009</v>
      </c>
      <c r="E6" s="37" t="s">
        <v>118</v>
      </c>
      <c r="F6" s="53">
        <v>0.3</v>
      </c>
      <c r="G6" s="20">
        <f>D6-D9</f>
        <v>-0.45287999999999995</v>
      </c>
      <c r="H6" s="20">
        <f>F6*G6</f>
        <v>-0.13586399999999998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x14ac:dyDescent="0.25">
      <c r="A7" s="12"/>
      <c r="B7" s="1"/>
      <c r="C7" s="37" t="s">
        <v>124</v>
      </c>
      <c r="D7" s="37">
        <v>5.6410000000000002E-2</v>
      </c>
      <c r="E7" s="37" t="s">
        <v>118</v>
      </c>
      <c r="F7" s="54">
        <v>0.1</v>
      </c>
      <c r="G7" s="20">
        <f>D7-D9</f>
        <v>-0.51656000000000002</v>
      </c>
      <c r="H7" s="20">
        <f>F7*G7</f>
        <v>-5.1656000000000007E-2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x14ac:dyDescent="0.25">
      <c r="A8" s="12"/>
      <c r="B8" s="1"/>
      <c r="C8" s="37" t="s">
        <v>125</v>
      </c>
      <c r="D8" s="37">
        <v>0.30719000000000002</v>
      </c>
      <c r="E8" s="37" t="s">
        <v>118</v>
      </c>
      <c r="F8" s="55">
        <v>0.2</v>
      </c>
      <c r="G8" s="20">
        <f>D8-D9</f>
        <v>-0.26577999999999996</v>
      </c>
      <c r="H8" s="20">
        <f>F8*G8</f>
        <v>-5.3155999999999995E-2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x14ac:dyDescent="0.25">
      <c r="A9" s="12"/>
      <c r="B9" s="1"/>
      <c r="C9" s="37" t="s">
        <v>126</v>
      </c>
      <c r="D9" s="37">
        <v>0.57296999999999998</v>
      </c>
      <c r="E9" s="37" t="s">
        <v>118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x14ac:dyDescent="0.25">
      <c r="A10" s="12"/>
      <c r="B10" s="1"/>
      <c r="C10" s="1"/>
      <c r="D10" s="1"/>
      <c r="E10" s="1"/>
      <c r="F10" s="56" t="s">
        <v>127</v>
      </c>
      <c r="G10" s="57"/>
      <c r="H10" s="5">
        <f>SUM(H5:H8)</f>
        <v>-0.45766399999999996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25">
      <c r="A11" s="12"/>
      <c r="B11" s="1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1">
    <mergeCell ref="G3:H3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Huella de Carbono</vt:lpstr>
      <vt:lpstr>1.1. Usos suelo</vt:lpstr>
      <vt:lpstr>1.3. Funcionamiento</vt:lpstr>
      <vt:lpstr>2.2.2 Parques y jardines</vt:lpstr>
      <vt:lpstr>2.3 Viviendas</vt:lpstr>
      <vt:lpstr>2.4.2 Residuos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sobrino</dc:creator>
  <cp:lastModifiedBy>María Teresa Quecedo Llanos</cp:lastModifiedBy>
  <dcterms:created xsi:type="dcterms:W3CDTF">2017-06-13T12:44:58Z</dcterms:created>
  <dcterms:modified xsi:type="dcterms:W3CDTF">2018-03-19T13:30:10Z</dcterms:modified>
</cp:coreProperties>
</file>