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pascualp\Desktop\"/>
    </mc:Choice>
  </mc:AlternateContent>
  <bookViews>
    <workbookView xWindow="0" yWindow="0" windowWidth="24000" windowHeight="8700"/>
  </bookViews>
  <sheets>
    <sheet name="CUADRO FINANCIERO SIMPLIFICADO" sheetId="1" r:id="rId1"/>
  </sheets>
  <externalReferences>
    <externalReference r:id="rId2"/>
  </externalReferences>
  <definedNames>
    <definedName name="list1">'[1]tech sheet 2'!$G$10:$G$12</definedName>
    <definedName name="list3">'[1]tech sheet 2'!$H$10:$H$11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" i="1" l="1"/>
  <c r="W18" i="1"/>
  <c r="Y18" i="1"/>
  <c r="U6" i="1"/>
  <c r="U7" i="1"/>
  <c r="U8" i="1"/>
  <c r="U9" i="1"/>
  <c r="H48" i="1" l="1"/>
  <c r="D47" i="1"/>
  <c r="F47" i="1" s="1"/>
  <c r="G47" i="1" s="1"/>
  <c r="X46" i="1"/>
  <c r="Z46" i="1" s="1"/>
  <c r="U46" i="1"/>
  <c r="S46" i="1"/>
  <c r="T46" i="1" s="1"/>
  <c r="V46" i="1" s="1"/>
  <c r="X45" i="1"/>
  <c r="U45" i="1"/>
  <c r="S45" i="1"/>
  <c r="O45" i="1"/>
  <c r="M45" i="1"/>
  <c r="L45" i="1"/>
  <c r="I45" i="1"/>
  <c r="H45" i="1"/>
  <c r="F45" i="1"/>
  <c r="D45" i="1"/>
  <c r="X44" i="1"/>
  <c r="Z44" i="1" s="1"/>
  <c r="U44" i="1"/>
  <c r="S44" i="1"/>
  <c r="T44" i="1" s="1"/>
  <c r="V44" i="1" s="1"/>
  <c r="O44" i="1"/>
  <c r="Q44" i="1" s="1"/>
  <c r="L44" i="1"/>
  <c r="I44" i="1"/>
  <c r="M44" i="1" s="1"/>
  <c r="H44" i="1"/>
  <c r="F44" i="1"/>
  <c r="D44" i="1"/>
  <c r="X43" i="1"/>
  <c r="Z43" i="1" s="1"/>
  <c r="U43" i="1"/>
  <c r="V43" i="1" s="1"/>
  <c r="S43" i="1"/>
  <c r="T43" i="1" s="1"/>
  <c r="O43" i="1"/>
  <c r="Q43" i="1" s="1"/>
  <c r="L43" i="1"/>
  <c r="M43" i="1" s="1"/>
  <c r="I43" i="1"/>
  <c r="H43" i="1"/>
  <c r="F43" i="1"/>
  <c r="D43" i="1"/>
  <c r="X42" i="1"/>
  <c r="Z42" i="1" s="1"/>
  <c r="U42" i="1"/>
  <c r="S42" i="1"/>
  <c r="P42" i="1"/>
  <c r="Q42" i="1" s="1"/>
  <c r="O42" i="1"/>
  <c r="M42" i="1"/>
  <c r="L42" i="1"/>
  <c r="I42" i="1"/>
  <c r="H42" i="1"/>
  <c r="D42" i="1"/>
  <c r="F42" i="1" s="1"/>
  <c r="X41" i="1"/>
  <c r="Z41" i="1" s="1"/>
  <c r="Z40" i="1" s="1"/>
  <c r="U41" i="1"/>
  <c r="V41" i="1" s="1"/>
  <c r="T41" i="1"/>
  <c r="S41" i="1"/>
  <c r="O41" i="1"/>
  <c r="Q41" i="1" s="1"/>
  <c r="Q40" i="1" s="1"/>
  <c r="L41" i="1"/>
  <c r="H41" i="1"/>
  <c r="D41" i="1"/>
  <c r="F41" i="1" s="1"/>
  <c r="Y40" i="1"/>
  <c r="X40" i="1"/>
  <c r="W40" i="1"/>
  <c r="P40" i="1"/>
  <c r="N40" i="1"/>
  <c r="H40" i="1"/>
  <c r="E40" i="1"/>
  <c r="D40" i="1"/>
  <c r="F40" i="1" s="1"/>
  <c r="G40" i="1" s="1"/>
  <c r="C40" i="1"/>
  <c r="X39" i="1"/>
  <c r="Y39" i="1" s="1"/>
  <c r="Z39" i="1" s="1"/>
  <c r="U39" i="1"/>
  <c r="V39" i="1" s="1"/>
  <c r="T39" i="1"/>
  <c r="S39" i="1"/>
  <c r="P39" i="1"/>
  <c r="Q39" i="1" s="1"/>
  <c r="O39" i="1"/>
  <c r="L39" i="1"/>
  <c r="I39" i="1"/>
  <c r="M39" i="1" s="1"/>
  <c r="H39" i="1"/>
  <c r="D39" i="1"/>
  <c r="F39" i="1" s="1"/>
  <c r="Y38" i="1"/>
  <c r="Z38" i="1" s="1"/>
  <c r="Z37" i="1" s="1"/>
  <c r="X38" i="1"/>
  <c r="P38" i="1"/>
  <c r="O38" i="1"/>
  <c r="N38" i="1"/>
  <c r="F38" i="1"/>
  <c r="G38" i="1" s="1"/>
  <c r="D38" i="1"/>
  <c r="Y37" i="1"/>
  <c r="W37" i="1"/>
  <c r="E37" i="1"/>
  <c r="C37" i="1"/>
  <c r="D37" i="1" s="1"/>
  <c r="F37" i="1" s="1"/>
  <c r="G37" i="1" s="1"/>
  <c r="X36" i="1"/>
  <c r="Z36" i="1" s="1"/>
  <c r="V36" i="1"/>
  <c r="U36" i="1"/>
  <c r="T36" i="1"/>
  <c r="S36" i="1"/>
  <c r="O36" i="1"/>
  <c r="Q36" i="1" s="1"/>
  <c r="L36" i="1"/>
  <c r="I36" i="1"/>
  <c r="M36" i="1" s="1"/>
  <c r="H36" i="1"/>
  <c r="D36" i="1"/>
  <c r="F36" i="1" s="1"/>
  <c r="Z35" i="1"/>
  <c r="X35" i="1"/>
  <c r="V35" i="1"/>
  <c r="U35" i="1"/>
  <c r="T35" i="1"/>
  <c r="S35" i="1"/>
  <c r="O35" i="1"/>
  <c r="I35" i="1" s="1"/>
  <c r="M35" i="1" s="1"/>
  <c r="L35" i="1"/>
  <c r="H35" i="1"/>
  <c r="D35" i="1"/>
  <c r="F35" i="1" s="1"/>
  <c r="Z34" i="1"/>
  <c r="Z33" i="1" s="1"/>
  <c r="X34" i="1"/>
  <c r="V34" i="1"/>
  <c r="V33" i="1" s="1"/>
  <c r="U34" i="1"/>
  <c r="T34" i="1"/>
  <c r="S34" i="1"/>
  <c r="O34" i="1"/>
  <c r="Q34" i="1" s="1"/>
  <c r="L34" i="1"/>
  <c r="H34" i="1"/>
  <c r="D34" i="1"/>
  <c r="F34" i="1" s="1"/>
  <c r="G34" i="1" s="1"/>
  <c r="Y33" i="1"/>
  <c r="X33" i="1"/>
  <c r="W33" i="1"/>
  <c r="T33" i="1"/>
  <c r="S33" i="1"/>
  <c r="P33" i="1"/>
  <c r="L33" i="1" s="1"/>
  <c r="O33" i="1"/>
  <c r="I33" i="1" s="1"/>
  <c r="M33" i="1" s="1"/>
  <c r="N33" i="1"/>
  <c r="H33" i="1"/>
  <c r="F33" i="1"/>
  <c r="G33" i="1" s="1"/>
  <c r="E33" i="1"/>
  <c r="D33" i="1"/>
  <c r="C33" i="1"/>
  <c r="X32" i="1"/>
  <c r="Z32" i="1" s="1"/>
  <c r="T32" i="1"/>
  <c r="S32" i="1"/>
  <c r="P32" i="1"/>
  <c r="L32" i="1" s="1"/>
  <c r="O32" i="1"/>
  <c r="I32" i="1" s="1"/>
  <c r="N32" i="1"/>
  <c r="H32" i="1" s="1"/>
  <c r="K32" i="1"/>
  <c r="D32" i="1"/>
  <c r="F32" i="1" s="1"/>
  <c r="G32" i="1" s="1"/>
  <c r="U31" i="1"/>
  <c r="L31" i="1"/>
  <c r="H31" i="1"/>
  <c r="D31" i="1"/>
  <c r="I31" i="1" s="1"/>
  <c r="M31" i="1" s="1"/>
  <c r="Z30" i="1"/>
  <c r="X30" i="1"/>
  <c r="U30" i="1"/>
  <c r="T30" i="1"/>
  <c r="V30" i="1" s="1"/>
  <c r="S30" i="1"/>
  <c r="O30" i="1"/>
  <c r="I30" i="1" s="1"/>
  <c r="M30" i="1"/>
  <c r="L30" i="1"/>
  <c r="H30" i="1"/>
  <c r="D30" i="1"/>
  <c r="F30" i="1" s="1"/>
  <c r="G30" i="1" s="1"/>
  <c r="X29" i="1"/>
  <c r="X27" i="1" s="1"/>
  <c r="T29" i="1"/>
  <c r="S29" i="1"/>
  <c r="P29" i="1"/>
  <c r="U29" i="1" s="1"/>
  <c r="O29" i="1"/>
  <c r="Q29" i="1" s="1"/>
  <c r="N29" i="1"/>
  <c r="L29" i="1"/>
  <c r="I29" i="1"/>
  <c r="M29" i="1" s="1"/>
  <c r="H29" i="1"/>
  <c r="F29" i="1"/>
  <c r="D29" i="1"/>
  <c r="Z28" i="1"/>
  <c r="X28" i="1"/>
  <c r="U28" i="1"/>
  <c r="V28" i="1" s="1"/>
  <c r="S28" i="1"/>
  <c r="T28" i="1" s="1"/>
  <c r="T27" i="1" s="1"/>
  <c r="Q28" i="1"/>
  <c r="O28" i="1"/>
  <c r="L28" i="1"/>
  <c r="I28" i="1"/>
  <c r="M28" i="1" s="1"/>
  <c r="H28" i="1"/>
  <c r="F28" i="1"/>
  <c r="G28" i="1" s="1"/>
  <c r="D28" i="1"/>
  <c r="Y27" i="1"/>
  <c r="W27" i="1"/>
  <c r="S27" i="1"/>
  <c r="P27" i="1"/>
  <c r="N27" i="1"/>
  <c r="H27" i="1" s="1"/>
  <c r="L27" i="1"/>
  <c r="E27" i="1"/>
  <c r="D27" i="1"/>
  <c r="F27" i="1" s="1"/>
  <c r="G27" i="1" s="1"/>
  <c r="C27" i="1"/>
  <c r="Z26" i="1"/>
  <c r="X26" i="1"/>
  <c r="U26" i="1"/>
  <c r="T26" i="1"/>
  <c r="V26" i="1" s="1"/>
  <c r="S26" i="1"/>
  <c r="Q26" i="1"/>
  <c r="O26" i="1"/>
  <c r="L26" i="1"/>
  <c r="H26" i="1"/>
  <c r="D26" i="1"/>
  <c r="F26" i="1" s="1"/>
  <c r="G26" i="1" s="1"/>
  <c r="Z25" i="1"/>
  <c r="X25" i="1"/>
  <c r="U25" i="1"/>
  <c r="S25" i="1"/>
  <c r="T25" i="1" s="1"/>
  <c r="V25" i="1" s="1"/>
  <c r="O25" i="1"/>
  <c r="L25" i="1"/>
  <c r="H25" i="1"/>
  <c r="D25" i="1"/>
  <c r="F25" i="1" s="1"/>
  <c r="G25" i="1" s="1"/>
  <c r="X24" i="1"/>
  <c r="X23" i="1" s="1"/>
  <c r="U24" i="1"/>
  <c r="S24" i="1"/>
  <c r="S23" i="1" s="1"/>
  <c r="O24" i="1"/>
  <c r="L24" i="1"/>
  <c r="H24" i="1"/>
  <c r="F24" i="1"/>
  <c r="G24" i="1" s="1"/>
  <c r="D24" i="1"/>
  <c r="Y23" i="1"/>
  <c r="W23" i="1"/>
  <c r="U23" i="1"/>
  <c r="P23" i="1"/>
  <c r="N23" i="1"/>
  <c r="L23" i="1"/>
  <c r="H23" i="1"/>
  <c r="E23" i="1"/>
  <c r="D23" i="1"/>
  <c r="F23" i="1" s="1"/>
  <c r="G23" i="1" s="1"/>
  <c r="C23" i="1"/>
  <c r="Z22" i="1"/>
  <c r="X22" i="1"/>
  <c r="U22" i="1"/>
  <c r="O22" i="1"/>
  <c r="I22" i="1" s="1"/>
  <c r="M22" i="1" s="1"/>
  <c r="N22" i="1"/>
  <c r="L22" i="1"/>
  <c r="F22" i="1"/>
  <c r="G22" i="1" s="1"/>
  <c r="D22" i="1"/>
  <c r="U21" i="1"/>
  <c r="V21" i="1" s="1"/>
  <c r="T21" i="1"/>
  <c r="S21" i="1"/>
  <c r="O21" i="1"/>
  <c r="Q21" i="1" s="1"/>
  <c r="L21" i="1"/>
  <c r="I21" i="1"/>
  <c r="M21" i="1" s="1"/>
  <c r="H21" i="1"/>
  <c r="D21" i="1"/>
  <c r="F21" i="1" s="1"/>
  <c r="Z20" i="1"/>
  <c r="X20" i="1"/>
  <c r="U20" i="1"/>
  <c r="T20" i="1"/>
  <c r="V20" i="1" s="1"/>
  <c r="S20" i="1"/>
  <c r="Q20" i="1"/>
  <c r="O20" i="1"/>
  <c r="I20" i="1" s="1"/>
  <c r="M20" i="1" s="1"/>
  <c r="L20" i="1"/>
  <c r="H20" i="1"/>
  <c r="D20" i="1"/>
  <c r="F20" i="1" s="1"/>
  <c r="X19" i="1"/>
  <c r="Z19" i="1" s="1"/>
  <c r="U19" i="1"/>
  <c r="S19" i="1"/>
  <c r="T19" i="1" s="1"/>
  <c r="Q19" i="1"/>
  <c r="O19" i="1"/>
  <c r="I19" i="1" s="1"/>
  <c r="M19" i="1" s="1"/>
  <c r="L19" i="1"/>
  <c r="H19" i="1"/>
  <c r="D19" i="1"/>
  <c r="F19" i="1" s="1"/>
  <c r="X18" i="1"/>
  <c r="Z18" i="1" s="1"/>
  <c r="U18" i="1"/>
  <c r="S18" i="1"/>
  <c r="T18" i="1" s="1"/>
  <c r="V18" i="1" s="1"/>
  <c r="Q18" i="1"/>
  <c r="O18" i="1"/>
  <c r="I18" i="1" s="1"/>
  <c r="M18" i="1" s="1"/>
  <c r="L18" i="1"/>
  <c r="H18" i="1"/>
  <c r="D18" i="1"/>
  <c r="F18" i="1" s="1"/>
  <c r="G18" i="1" s="1"/>
  <c r="X17" i="1"/>
  <c r="Z17" i="1" s="1"/>
  <c r="P17" i="1"/>
  <c r="L17" i="1" s="1"/>
  <c r="O17" i="1"/>
  <c r="N17" i="1"/>
  <c r="F17" i="1"/>
  <c r="G17" i="1" s="1"/>
  <c r="D17" i="1"/>
  <c r="Y16" i="1"/>
  <c r="W16" i="1"/>
  <c r="P16" i="1"/>
  <c r="L16" i="1" s="1"/>
  <c r="E16" i="1"/>
  <c r="C16" i="1"/>
  <c r="D16" i="1" s="1"/>
  <c r="F16" i="1" s="1"/>
  <c r="G16" i="1" s="1"/>
  <c r="U15" i="1"/>
  <c r="S15" i="1"/>
  <c r="T15" i="1" s="1"/>
  <c r="Q15" i="1"/>
  <c r="O15" i="1"/>
  <c r="M15" i="1"/>
  <c r="L15" i="1"/>
  <c r="I15" i="1"/>
  <c r="H15" i="1"/>
  <c r="F15" i="1"/>
  <c r="G15" i="1" s="1"/>
  <c r="D15" i="1"/>
  <c r="W14" i="1"/>
  <c r="W12" i="1" s="1"/>
  <c r="W11" i="1" s="1"/>
  <c r="U14" i="1"/>
  <c r="O14" i="1"/>
  <c r="Q14" i="1" s="1"/>
  <c r="L14" i="1"/>
  <c r="I14" i="1"/>
  <c r="M14" i="1" s="1"/>
  <c r="H14" i="1"/>
  <c r="F14" i="1"/>
  <c r="D14" i="1"/>
  <c r="Z13" i="1"/>
  <c r="X13" i="1"/>
  <c r="U13" i="1"/>
  <c r="S13" i="1"/>
  <c r="T13" i="1" s="1"/>
  <c r="P13" i="1"/>
  <c r="N13" i="1"/>
  <c r="O13" i="1" s="1"/>
  <c r="L13" i="1"/>
  <c r="K13" i="1"/>
  <c r="F13" i="1"/>
  <c r="G13" i="1" s="1"/>
  <c r="D13" i="1"/>
  <c r="Y12" i="1"/>
  <c r="P12" i="1"/>
  <c r="J12" i="1"/>
  <c r="K12" i="1" s="1"/>
  <c r="E12" i="1"/>
  <c r="C12" i="1"/>
  <c r="D12" i="1" s="1"/>
  <c r="F12" i="1" s="1"/>
  <c r="G12" i="1" s="1"/>
  <c r="Y11" i="1"/>
  <c r="F11" i="1"/>
  <c r="D11" i="1"/>
  <c r="X10" i="1"/>
  <c r="Z10" i="1" s="1"/>
  <c r="U10" i="1"/>
  <c r="V10" i="1" s="1"/>
  <c r="T10" i="1"/>
  <c r="S10" i="1"/>
  <c r="O10" i="1"/>
  <c r="Q10" i="1" s="1"/>
  <c r="L10" i="1"/>
  <c r="H10" i="1"/>
  <c r="D10" i="1"/>
  <c r="F10" i="1" s="1"/>
  <c r="G10" i="1" s="1"/>
  <c r="V9" i="1"/>
  <c r="T9" i="1"/>
  <c r="S9" i="1"/>
  <c r="P9" i="1"/>
  <c r="Q9" i="1" s="1"/>
  <c r="O9" i="1"/>
  <c r="I9" i="1" s="1"/>
  <c r="H9" i="1"/>
  <c r="D9" i="1"/>
  <c r="F9" i="1" s="1"/>
  <c r="G9" i="1" s="1"/>
  <c r="V8" i="1"/>
  <c r="T8" i="1"/>
  <c r="S8" i="1"/>
  <c r="Q8" i="1"/>
  <c r="O8" i="1"/>
  <c r="M8" i="1"/>
  <c r="L8" i="1"/>
  <c r="I8" i="1"/>
  <c r="H8" i="1"/>
  <c r="F8" i="1"/>
  <c r="G8" i="1" s="1"/>
  <c r="D8" i="1"/>
  <c r="T7" i="1"/>
  <c r="T6" i="1" s="1"/>
  <c r="T5" i="1" s="1"/>
  <c r="S7" i="1"/>
  <c r="Q7" i="1"/>
  <c r="O7" i="1"/>
  <c r="I7" i="1" s="1"/>
  <c r="M7" i="1" s="1"/>
  <c r="L7" i="1"/>
  <c r="H7" i="1"/>
  <c r="D7" i="1"/>
  <c r="F7" i="1" s="1"/>
  <c r="G7" i="1" s="1"/>
  <c r="Z6" i="1"/>
  <c r="Z5" i="1" s="1"/>
  <c r="Y6" i="1"/>
  <c r="X6" i="1"/>
  <c r="W6" i="1"/>
  <c r="W5" i="1" s="1"/>
  <c r="S6" i="1"/>
  <c r="S5" i="1" s="1"/>
  <c r="P6" i="1"/>
  <c r="O6" i="1"/>
  <c r="I6" i="1" s="1"/>
  <c r="M6" i="1" s="1"/>
  <c r="N6" i="1"/>
  <c r="N5" i="1" s="1"/>
  <c r="L6" i="1"/>
  <c r="H6" i="1"/>
  <c r="E6" i="1"/>
  <c r="C6" i="1"/>
  <c r="D6" i="1" s="1"/>
  <c r="F6" i="1" s="1"/>
  <c r="G6" i="1" s="1"/>
  <c r="Y5" i="1"/>
  <c r="X5" i="1"/>
  <c r="K5" i="1"/>
  <c r="J5" i="1"/>
  <c r="H5" i="1"/>
  <c r="D5" i="1"/>
  <c r="F5" i="1" s="1"/>
  <c r="Z16" i="1" l="1"/>
  <c r="V19" i="1"/>
  <c r="Y47" i="1"/>
  <c r="I13" i="1"/>
  <c r="M13" i="1" s="1"/>
  <c r="O12" i="1"/>
  <c r="V13" i="1"/>
  <c r="V12" i="1" s="1"/>
  <c r="M32" i="1"/>
  <c r="V15" i="1"/>
  <c r="T12" i="1"/>
  <c r="V14" i="1"/>
  <c r="V22" i="1"/>
  <c r="V6" i="1"/>
  <c r="V5" i="1" s="1"/>
  <c r="G11" i="1"/>
  <c r="P11" i="1"/>
  <c r="L11" i="1" s="1"/>
  <c r="S14" i="1"/>
  <c r="T14" i="1" s="1"/>
  <c r="U17" i="1"/>
  <c r="U16" i="1" s="1"/>
  <c r="T24" i="1"/>
  <c r="I26" i="1"/>
  <c r="M26" i="1" s="1"/>
  <c r="O27" i="1"/>
  <c r="I27" i="1" s="1"/>
  <c r="M27" i="1" s="1"/>
  <c r="Q27" i="1"/>
  <c r="V29" i="1"/>
  <c r="V27" i="1" s="1"/>
  <c r="U32" i="1"/>
  <c r="V32" i="1" s="1"/>
  <c r="X37" i="1"/>
  <c r="I17" i="1"/>
  <c r="M17" i="1" s="1"/>
  <c r="O16" i="1"/>
  <c r="I16" i="1" s="1"/>
  <c r="M16" i="1" s="1"/>
  <c r="L38" i="1"/>
  <c r="P37" i="1"/>
  <c r="L37" i="1" s="1"/>
  <c r="V7" i="1"/>
  <c r="U12" i="1"/>
  <c r="G5" i="1"/>
  <c r="L9" i="1"/>
  <c r="M9" i="1" s="1"/>
  <c r="M5" i="1" s="1"/>
  <c r="J11" i="1"/>
  <c r="Q13" i="1"/>
  <c r="G19" i="1"/>
  <c r="U33" i="1"/>
  <c r="I41" i="1"/>
  <c r="M41" i="1" s="1"/>
  <c r="G43" i="1"/>
  <c r="I10" i="1"/>
  <c r="M10" i="1" s="1"/>
  <c r="G29" i="1"/>
  <c r="I34" i="1"/>
  <c r="M34" i="1" s="1"/>
  <c r="G36" i="1"/>
  <c r="H38" i="1"/>
  <c r="N37" i="1"/>
  <c r="H37" i="1" s="1"/>
  <c r="S38" i="1"/>
  <c r="S40" i="1"/>
  <c r="T45" i="1"/>
  <c r="G14" i="1"/>
  <c r="I25" i="1"/>
  <c r="M25" i="1" s="1"/>
  <c r="U5" i="1"/>
  <c r="S12" i="1"/>
  <c r="X16" i="1"/>
  <c r="S17" i="1"/>
  <c r="H17" i="1"/>
  <c r="N16" i="1"/>
  <c r="H16" i="1" s="1"/>
  <c r="G21" i="1"/>
  <c r="S22" i="1"/>
  <c r="T22" i="1" s="1"/>
  <c r="H22" i="1"/>
  <c r="Z24" i="1"/>
  <c r="Z23" i="1" s="1"/>
  <c r="Q25" i="1"/>
  <c r="Q35" i="1"/>
  <c r="Q33" i="1" s="1"/>
  <c r="I38" i="1"/>
  <c r="M38" i="1" s="1"/>
  <c r="O37" i="1"/>
  <c r="I37" i="1" s="1"/>
  <c r="G39" i="1"/>
  <c r="W47" i="1"/>
  <c r="G42" i="1"/>
  <c r="T42" i="1"/>
  <c r="V42" i="1" s="1"/>
  <c r="V40" i="1" s="1"/>
  <c r="G45" i="1"/>
  <c r="U27" i="1"/>
  <c r="Q22" i="1"/>
  <c r="G35" i="1"/>
  <c r="Z45" i="1"/>
  <c r="I24" i="1"/>
  <c r="M24" i="1" s="1"/>
  <c r="O23" i="1"/>
  <c r="X14" i="1"/>
  <c r="Q32" i="1"/>
  <c r="Q38" i="1"/>
  <c r="P5" i="1"/>
  <c r="L5" i="1" s="1"/>
  <c r="L12" i="1"/>
  <c r="Q17" i="1"/>
  <c r="G20" i="1"/>
  <c r="Z29" i="1"/>
  <c r="Z27" i="1" s="1"/>
  <c r="Q30" i="1"/>
  <c r="F31" i="1"/>
  <c r="G31" i="1" s="1"/>
  <c r="U38" i="1"/>
  <c r="O40" i="1"/>
  <c r="I40" i="1" s="1"/>
  <c r="T40" i="1"/>
  <c r="G44" i="1"/>
  <c r="Q24" i="1"/>
  <c r="Q6" i="1"/>
  <c r="O5" i="1"/>
  <c r="I5" i="1" s="1"/>
  <c r="H13" i="1"/>
  <c r="N12" i="1"/>
  <c r="L40" i="1"/>
  <c r="G41" i="1"/>
  <c r="U40" i="1"/>
  <c r="Q45" i="1"/>
  <c r="U11" i="1" l="1"/>
  <c r="N11" i="1"/>
  <c r="H11" i="1" s="1"/>
  <c r="H47" i="1" s="1"/>
  <c r="H12" i="1"/>
  <c r="M40" i="1"/>
  <c r="N47" i="1"/>
  <c r="V24" i="1"/>
  <c r="T23" i="1"/>
  <c r="V23" i="1" s="1"/>
  <c r="P47" i="1"/>
  <c r="L47" i="1" s="1"/>
  <c r="V38" i="1"/>
  <c r="V37" i="1" s="1"/>
  <c r="U37" i="1"/>
  <c r="U47" i="1" s="1"/>
  <c r="Q37" i="1"/>
  <c r="M37" i="1"/>
  <c r="J47" i="1"/>
  <c r="K11" i="1"/>
  <c r="K47" i="1" s="1"/>
  <c r="Q5" i="1"/>
  <c r="Z14" i="1"/>
  <c r="Z12" i="1" s="1"/>
  <c r="Z11" i="1" s="1"/>
  <c r="Z47" i="1" s="1"/>
  <c r="X12" i="1"/>
  <c r="X11" i="1" s="1"/>
  <c r="X47" i="1" s="1"/>
  <c r="V45" i="1"/>
  <c r="I23" i="1"/>
  <c r="M23" i="1" s="1"/>
  <c r="Q23" i="1"/>
  <c r="T17" i="1"/>
  <c r="S16" i="1"/>
  <c r="S11" i="1" s="1"/>
  <c r="Q12" i="1"/>
  <c r="O11" i="1"/>
  <c r="I12" i="1"/>
  <c r="M12" i="1" s="1"/>
  <c r="T38" i="1"/>
  <c r="T37" i="1" s="1"/>
  <c r="S37" i="1"/>
  <c r="Q16" i="1"/>
  <c r="S47" i="1" l="1"/>
  <c r="V17" i="1"/>
  <c r="V16" i="1" s="1"/>
  <c r="V11" i="1" s="1"/>
  <c r="V47" i="1" s="1"/>
  <c r="T16" i="1"/>
  <c r="T11" i="1" s="1"/>
  <c r="T47" i="1" s="1"/>
  <c r="I11" i="1"/>
  <c r="M11" i="1" s="1"/>
  <c r="M47" i="1" s="1"/>
  <c r="O47" i="1"/>
  <c r="Q11" i="1"/>
  <c r="Q47" i="1" l="1"/>
  <c r="R11" i="1" s="1"/>
  <c r="I47" i="1"/>
  <c r="R47" i="1" l="1"/>
  <c r="R31" i="1"/>
  <c r="R7" i="1"/>
  <c r="R26" i="1"/>
  <c r="R28" i="1"/>
  <c r="R15" i="1"/>
  <c r="R8" i="1"/>
  <c r="R36" i="1"/>
  <c r="R19" i="1"/>
  <c r="R43" i="1"/>
  <c r="R21" i="1"/>
  <c r="R14" i="1"/>
  <c r="R41" i="1"/>
  <c r="R34" i="1"/>
  <c r="R40" i="1"/>
  <c r="R18" i="1"/>
  <c r="R10" i="1"/>
  <c r="R20" i="1"/>
  <c r="R42" i="1"/>
  <c r="R39" i="1"/>
  <c r="R44" i="1"/>
  <c r="R29" i="1"/>
  <c r="R9" i="1"/>
  <c r="R33" i="1"/>
  <c r="R38" i="1"/>
  <c r="R6" i="1"/>
  <c r="R24" i="1"/>
  <c r="R32" i="1"/>
  <c r="R35" i="1"/>
  <c r="R25" i="1"/>
  <c r="R22" i="1"/>
  <c r="R30" i="1"/>
  <c r="R27" i="1"/>
  <c r="R45" i="1"/>
  <c r="R13" i="1"/>
  <c r="R17" i="1"/>
  <c r="R5" i="1"/>
  <c r="R16" i="1"/>
  <c r="R23" i="1"/>
  <c r="R37" i="1"/>
  <c r="R12" i="1"/>
</calcChain>
</file>

<file path=xl/sharedStrings.xml><?xml version="1.0" encoding="utf-8"?>
<sst xmlns="http://schemas.openxmlformats.org/spreadsheetml/2006/main" count="108" uniqueCount="95">
  <si>
    <t>PDR V5.0</t>
  </si>
  <si>
    <t>PDR V6.0</t>
  </si>
  <si>
    <t>PDR V7.0</t>
  </si>
  <si>
    <t>PDR V6.0-V7.0</t>
  </si>
  <si>
    <t>Operaciones</t>
  </si>
  <si>
    <t xml:space="preserve">Medidas a nivel de operación </t>
  </si>
  <si>
    <t>Gasto cofinanciado 14-20</t>
  </si>
  <si>
    <t>Top-up 14-20</t>
  </si>
  <si>
    <t>GPT 14-20</t>
  </si>
  <si>
    <t>Peso</t>
  </si>
  <si>
    <t>Gasto cofinanciado 21-22</t>
  </si>
  <si>
    <t>Gasto EURI 21-22</t>
  </si>
  <si>
    <t>Top-up</t>
  </si>
  <si>
    <t>GPT 21-22</t>
  </si>
  <si>
    <t>Gasto cofinanciado 14-22</t>
  </si>
  <si>
    <t>Top-up 
14-22</t>
  </si>
  <si>
    <t>GPT 14-22 *
CON EURI</t>
  </si>
  <si>
    <t>FEADER</t>
  </si>
  <si>
    <t>Gasto Público</t>
  </si>
  <si>
    <t>Gasto Publico</t>
  </si>
  <si>
    <t>EU</t>
  </si>
  <si>
    <t>FEADER * SIN EURI</t>
  </si>
  <si>
    <t>Gasto Público* SIN EURI</t>
  </si>
  <si>
    <t>1. Transferencia de conocimientos y actividades de información</t>
  </si>
  <si>
    <t>1.1</t>
  </si>
  <si>
    <t>1.1 Ayuda a las acciones de formación profesional y adquisición de competencias</t>
  </si>
  <si>
    <t>1.1.1.</t>
  </si>
  <si>
    <t>1.1.1.- Cursos de formación y perfeccionamiento</t>
  </si>
  <si>
    <t>1.1.2</t>
  </si>
  <si>
    <t>1.1.2. Formación teórica/práctica de los jóvenes del sector agrario</t>
  </si>
  <si>
    <t>1.3</t>
  </si>
  <si>
    <t>1.3.- Apoyo a las actividades de demostración y a las acciones de información</t>
  </si>
  <si>
    <t>2.- Prestación de servicios de asesoramiento</t>
  </si>
  <si>
    <t>4. Inversiones en activos físicos</t>
  </si>
  <si>
    <t>4.1</t>
  </si>
  <si>
    <t>4.1 Ayuda a las inversiones en explotaciones agrícolas</t>
  </si>
  <si>
    <t>4.1.1</t>
  </si>
  <si>
    <t>4.1.1.- Apoyo a las inversiones a las explotaciones agrarias</t>
  </si>
  <si>
    <t>4.1.2</t>
  </si>
  <si>
    <t>4.1.2.- Apoyo a inversiones en entidades asociativas</t>
  </si>
  <si>
    <t>4.2</t>
  </si>
  <si>
    <t>4.2.- Apoyo a las inversiones a la transformación, comercialización y desarrollo de productos agrícolas</t>
  </si>
  <si>
    <t>4.3</t>
  </si>
  <si>
    <t>4.3 Ayuda a las inversiones en infraestructuras relacionadas con el desarrollo, la modernización o la adaptación de la agricultura y la silvicultura</t>
  </si>
  <si>
    <t>4.3.1</t>
  </si>
  <si>
    <t>4.3.1.-Gestión de recursos hídricos (5a)</t>
  </si>
  <si>
    <t>4.3.1.2</t>
  </si>
  <si>
    <t>4.3.1.2 Nuevos regadíos (2a)</t>
  </si>
  <si>
    <t>4.3.2</t>
  </si>
  <si>
    <t>4.3.2.- Caminos y otras infraestructuras de carácter municipal</t>
  </si>
  <si>
    <t>4.3.3</t>
  </si>
  <si>
    <t>4.3.3.- Concentración parcelaria</t>
  </si>
  <si>
    <t>4.4.1</t>
  </si>
  <si>
    <t>4.4.1.- Apoyo a las inversiones no productivas vinculadas a la realización de objetivos agroambientales y climáticos</t>
  </si>
  <si>
    <t>6.1.- Ayudas para el establecimiento de jóvenes agricultores</t>
  </si>
  <si>
    <t>7.- Servicios básicos y renovación de poblaciones rurales</t>
  </si>
  <si>
    <t>7.1</t>
  </si>
  <si>
    <t>7.1. Ayuda a la elaboración y actualización de planes para el
desarrollo de los municipios</t>
  </si>
  <si>
    <t>7.5</t>
  </si>
  <si>
    <t>7.5.Ayuda las inversiones para el uso público de infraestructuras
recreativas, info.turística e infraestructuras turísticas a pequeña
escala</t>
  </si>
  <si>
    <t>7.6.</t>
  </si>
  <si>
    <t>Ayuda para estudios inversiones patrimonio cultural y natural</t>
  </si>
  <si>
    <t>8. Inversiones en el desarrollo de zonas forestales y mejora de
la viabilidad de los bosques</t>
  </si>
  <si>
    <t>8.1</t>
  </si>
  <si>
    <t>8.1.- Reforestación y creación de superficies forestales</t>
  </si>
  <si>
    <t>8.3</t>
  </si>
  <si>
    <t>8.3.- Prevención y reparación de los daños causados a los bosques por incendios naturales, desastres naturales y catástrofes</t>
  </si>
  <si>
    <t>8.5</t>
  </si>
  <si>
    <t>8.5.- Inversiones para incrementar la capacidad de adaptación y el valor medioambiental de los ecosistemas forestales</t>
  </si>
  <si>
    <t>8.6</t>
  </si>
  <si>
    <t>8.6.- Inversiones en tecnologías forestales y en la transformación, movilización y comercialización de productos forestales</t>
  </si>
  <si>
    <t>10.1.- Compromisos de agroambiente y clima</t>
  </si>
  <si>
    <t>Ecológica</t>
  </si>
  <si>
    <t>11.1</t>
  </si>
  <si>
    <t>11.1.Adopción de prácticas ecológicas</t>
  </si>
  <si>
    <t>11.2</t>
  </si>
  <si>
    <t>11.2.- Mantenimiento de prácticas ecológica</t>
  </si>
  <si>
    <t>13.-Ayuda a zonas con limitaciones naturales u otras
 limitaciones específicas</t>
  </si>
  <si>
    <t>16. Cooperación</t>
  </si>
  <si>
    <t>16.1</t>
  </si>
  <si>
    <t xml:space="preserve">16.1.-Constitución de Grupos Operativos </t>
  </si>
  <si>
    <t>16.5</t>
  </si>
  <si>
    <t xml:space="preserve">16.5.- Cambio climático y Medio Ambiente -- </t>
  </si>
  <si>
    <t>19. Leader</t>
  </si>
  <si>
    <t>19.1</t>
  </si>
  <si>
    <t xml:space="preserve">Ayuda preparatoria </t>
  </si>
  <si>
    <t>19.2</t>
  </si>
  <si>
    <t>19.2.- Ejecución de operaciones bajo la estrategia de desarrollo participativo</t>
  </si>
  <si>
    <t>19.3</t>
  </si>
  <si>
    <t>19.3.- Cooperación trasnacional e interregional de los GAL</t>
  </si>
  <si>
    <t>19.4</t>
  </si>
  <si>
    <t>19.4.- Gastos de funcionamiento y animación</t>
  </si>
  <si>
    <t>Asistencia técnica</t>
  </si>
  <si>
    <t>TOTAL</t>
  </si>
  <si>
    <t>Top-up sin centimos en el PDR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</si>
</sst>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sz val="10"/>
      <color rgb="FFFF0000"/>
      <name val="HelveticaNeue LT 55 Roman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1" fillId="0" borderId="0" xfId="1" applyFill="1" applyAlignment="1" applyProtection="1">
      <alignment horizontal="center"/>
    </xf>
    <xf numFmtId="0" fontId="1" fillId="0" borderId="0" xfId="1" applyFill="1" applyAlignment="1" applyProtection="1">
      <alignment wrapText="1"/>
    </xf>
    <xf numFmtId="0" fontId="1" fillId="0" borderId="0" xfId="1" applyFill="1" applyProtection="1"/>
    <xf numFmtId="0" fontId="1" fillId="0" borderId="19" xfId="1" applyFont="1" applyFill="1" applyBorder="1" applyAlignment="1" applyProtection="1">
      <alignment horizontal="center" vertical="center" wrapText="1"/>
    </xf>
    <xf numFmtId="0" fontId="1" fillId="0" borderId="20" xfId="1" applyFont="1" applyFill="1" applyBorder="1" applyAlignment="1" applyProtection="1">
      <alignment horizontal="center" vertical="center" wrapText="1"/>
    </xf>
    <xf numFmtId="0" fontId="1" fillId="0" borderId="19" xfId="1" applyFont="1" applyFill="1" applyBorder="1" applyAlignment="1" applyProtection="1">
      <alignment horizontal="center"/>
    </xf>
    <xf numFmtId="0" fontId="1" fillId="0" borderId="20" xfId="1" applyFill="1" applyBorder="1" applyAlignment="1" applyProtection="1">
      <alignment horizontal="center"/>
    </xf>
    <xf numFmtId="0" fontId="1" fillId="0" borderId="20" xfId="1" applyFont="1" applyFill="1" applyBorder="1" applyAlignment="1" applyProtection="1">
      <alignment horizontal="center"/>
    </xf>
    <xf numFmtId="0" fontId="2" fillId="4" borderId="24" xfId="1" applyFont="1" applyFill="1" applyBorder="1" applyAlignment="1" applyProtection="1">
      <alignment horizontal="center" vertical="center"/>
    </xf>
    <xf numFmtId="0" fontId="2" fillId="4" borderId="25" xfId="1" applyFont="1" applyFill="1" applyBorder="1" applyAlignment="1" applyProtection="1">
      <alignment vertical="center" wrapText="1"/>
    </xf>
    <xf numFmtId="3" fontId="2" fillId="4" borderId="19" xfId="1" applyNumberFormat="1" applyFont="1" applyFill="1" applyBorder="1" applyAlignment="1" applyProtection="1">
      <alignment vertical="center" wrapText="1"/>
    </xf>
    <xf numFmtId="3" fontId="2" fillId="4" borderId="20" xfId="1" applyNumberFormat="1" applyFont="1" applyFill="1" applyBorder="1" applyAlignment="1" applyProtection="1">
      <alignment vertical="center" wrapText="1"/>
    </xf>
    <xf numFmtId="10" fontId="2" fillId="4" borderId="21" xfId="1" applyNumberFormat="1" applyFont="1" applyFill="1" applyBorder="1" applyAlignment="1" applyProtection="1">
      <alignment horizontal="center" vertical="center" wrapText="1"/>
    </xf>
    <xf numFmtId="3" fontId="2" fillId="4" borderId="24" xfId="1" applyNumberFormat="1" applyFont="1" applyFill="1" applyBorder="1" applyAlignment="1" applyProtection="1">
      <alignment horizontal="right" vertical="center"/>
    </xf>
    <xf numFmtId="4" fontId="2" fillId="4" borderId="24" xfId="1" applyNumberFormat="1" applyFont="1" applyFill="1" applyBorder="1" applyAlignment="1" applyProtection="1">
      <alignment horizontal="right" vertical="center"/>
    </xf>
    <xf numFmtId="10" fontId="2" fillId="4" borderId="21" xfId="1" applyNumberFormat="1" applyFont="1" applyFill="1" applyBorder="1" applyAlignment="1" applyProtection="1">
      <alignment horizontal="right" vertical="center"/>
    </xf>
    <xf numFmtId="0" fontId="1" fillId="0" borderId="0" xfId="1" applyFill="1" applyAlignment="1" applyProtection="1">
      <alignment vertical="center"/>
    </xf>
    <xf numFmtId="0" fontId="1" fillId="0" borderId="24" xfId="1" applyFont="1" applyFill="1" applyBorder="1" applyAlignment="1" applyProtection="1">
      <alignment horizontal="center" vertical="center"/>
    </xf>
    <xf numFmtId="0" fontId="1" fillId="0" borderId="25" xfId="1" applyFont="1" applyFill="1" applyBorder="1" applyAlignment="1" applyProtection="1">
      <alignment vertical="center" wrapText="1"/>
    </xf>
    <xf numFmtId="3" fontId="1" fillId="0" borderId="19" xfId="1" applyNumberFormat="1" applyFont="1" applyFill="1" applyBorder="1" applyAlignment="1" applyProtection="1">
      <alignment vertical="center" wrapText="1"/>
    </xf>
    <xf numFmtId="3" fontId="1" fillId="0" borderId="20" xfId="2" applyNumberFormat="1" applyFont="1" applyFill="1" applyBorder="1" applyAlignment="1" applyProtection="1">
      <alignment vertical="center" wrapText="1"/>
    </xf>
    <xf numFmtId="3" fontId="1" fillId="0" borderId="20" xfId="1" applyNumberFormat="1" applyFont="1" applyFill="1" applyBorder="1" applyAlignment="1" applyProtection="1">
      <alignment vertical="center" wrapText="1"/>
    </xf>
    <xf numFmtId="10" fontId="3" fillId="0" borderId="21" xfId="1" applyNumberFormat="1" applyFont="1" applyFill="1" applyBorder="1" applyAlignment="1" applyProtection="1">
      <alignment horizontal="center" vertical="center" wrapText="1"/>
    </xf>
    <xf numFmtId="3" fontId="3" fillId="0" borderId="21" xfId="1" applyNumberFormat="1" applyFont="1" applyFill="1" applyBorder="1" applyAlignment="1" applyProtection="1">
      <alignment vertical="center"/>
    </xf>
    <xf numFmtId="4" fontId="3" fillId="0" borderId="19" xfId="1" applyNumberFormat="1" applyFont="1" applyFill="1" applyBorder="1" applyAlignment="1" applyProtection="1">
      <alignment horizontal="right" vertical="center"/>
    </xf>
    <xf numFmtId="4" fontId="3" fillId="0" borderId="24" xfId="1" applyNumberFormat="1" applyFont="1" applyFill="1" applyBorder="1" applyAlignment="1" applyProtection="1">
      <alignment horizontal="right" vertical="center"/>
    </xf>
    <xf numFmtId="10" fontId="3" fillId="0" borderId="21" xfId="1" applyNumberFormat="1" applyFont="1" applyFill="1" applyBorder="1" applyAlignment="1" applyProtection="1">
      <alignment horizontal="right" vertical="center"/>
    </xf>
    <xf numFmtId="4" fontId="3" fillId="0" borderId="20" xfId="2" applyNumberFormat="1" applyFont="1" applyFill="1" applyBorder="1" applyAlignment="1" applyProtection="1">
      <alignment horizontal="right" vertical="center"/>
    </xf>
    <xf numFmtId="3" fontId="3" fillId="0" borderId="19" xfId="2" applyNumberFormat="1" applyFont="1" applyFill="1" applyBorder="1" applyAlignment="1" applyProtection="1">
      <alignment vertical="center" wrapText="1"/>
    </xf>
    <xf numFmtId="3" fontId="3" fillId="0" borderId="20" xfId="2" applyNumberFormat="1" applyFont="1" applyFill="1" applyBorder="1" applyAlignment="1" applyProtection="1">
      <alignment vertical="center" wrapText="1"/>
    </xf>
    <xf numFmtId="3" fontId="3" fillId="0" borderId="20" xfId="1" applyNumberFormat="1" applyFont="1" applyFill="1" applyBorder="1" applyAlignment="1" applyProtection="1">
      <alignment vertical="center" wrapText="1"/>
    </xf>
    <xf numFmtId="4" fontId="3" fillId="0" borderId="19" xfId="2" applyNumberFormat="1" applyFont="1" applyFill="1" applyBorder="1" applyAlignment="1" applyProtection="1">
      <alignment horizontal="right" vertical="center"/>
    </xf>
    <xf numFmtId="4" fontId="3" fillId="0" borderId="20" xfId="1" applyNumberFormat="1" applyFont="1" applyFill="1" applyBorder="1" applyAlignment="1" applyProtection="1">
      <alignment horizontal="right" vertical="center"/>
    </xf>
    <xf numFmtId="3" fontId="1" fillId="0" borderId="19" xfId="2" applyNumberFormat="1" applyFont="1" applyFill="1" applyBorder="1" applyAlignment="1" applyProtection="1">
      <alignment vertical="center" wrapText="1"/>
    </xf>
    <xf numFmtId="3" fontId="2" fillId="4" borderId="21" xfId="1" applyNumberFormat="1" applyFont="1" applyFill="1" applyBorder="1" applyAlignment="1" applyProtection="1">
      <alignment vertical="center"/>
    </xf>
    <xf numFmtId="4" fontId="2" fillId="4" borderId="19" xfId="2" applyNumberFormat="1" applyFont="1" applyFill="1" applyBorder="1" applyAlignment="1" applyProtection="1">
      <alignment horizontal="right" vertical="center"/>
    </xf>
    <xf numFmtId="4" fontId="2" fillId="4" borderId="20" xfId="1" applyNumberFormat="1" applyFont="1" applyFill="1" applyBorder="1" applyAlignment="1" applyProtection="1">
      <alignment horizontal="right" vertical="center"/>
    </xf>
    <xf numFmtId="4" fontId="2" fillId="4" borderId="20" xfId="2" applyNumberFormat="1" applyFont="1" applyFill="1" applyBorder="1" applyAlignment="1" applyProtection="1">
      <alignment horizontal="right" vertical="center"/>
    </xf>
    <xf numFmtId="4" fontId="2" fillId="4" borderId="19" xfId="1" applyNumberFormat="1" applyFont="1" applyFill="1" applyBorder="1" applyAlignment="1" applyProtection="1">
      <alignment horizontal="right" vertical="center"/>
    </xf>
    <xf numFmtId="4" fontId="1" fillId="0" borderId="0" xfId="1" applyNumberFormat="1" applyFill="1" applyAlignment="1" applyProtection="1">
      <alignment vertical="center"/>
    </xf>
    <xf numFmtId="10" fontId="1" fillId="0" borderId="21" xfId="1" applyNumberFormat="1" applyFont="1" applyFill="1" applyBorder="1" applyAlignment="1" applyProtection="1">
      <alignment horizontal="center" vertical="center" wrapText="1"/>
    </xf>
    <xf numFmtId="3" fontId="1" fillId="0" borderId="21" xfId="1" applyNumberFormat="1" applyFont="1" applyFill="1" applyBorder="1" applyAlignment="1" applyProtection="1">
      <alignment vertical="center"/>
    </xf>
    <xf numFmtId="4" fontId="1" fillId="0" borderId="19" xfId="1" applyNumberFormat="1" applyFont="1" applyFill="1" applyBorder="1" applyAlignment="1" applyProtection="1">
      <alignment horizontal="right" vertical="center"/>
    </xf>
    <xf numFmtId="10" fontId="1" fillId="0" borderId="21" xfId="1" applyNumberFormat="1" applyFont="1" applyFill="1" applyBorder="1" applyAlignment="1" applyProtection="1">
      <alignment horizontal="right" vertical="center"/>
    </xf>
    <xf numFmtId="4" fontId="1" fillId="0" borderId="24" xfId="1" applyNumberFormat="1" applyFont="1" applyFill="1" applyBorder="1" applyAlignment="1" applyProtection="1">
      <alignment horizontal="right" vertical="center"/>
    </xf>
    <xf numFmtId="4" fontId="1" fillId="0" borderId="20" xfId="1" applyNumberFormat="1" applyFont="1" applyFill="1" applyBorder="1" applyAlignment="1" applyProtection="1">
      <alignment horizontal="right" vertical="center"/>
    </xf>
    <xf numFmtId="3" fontId="3" fillId="0" borderId="19" xfId="1" applyNumberFormat="1" applyFont="1" applyFill="1" applyBorder="1" applyAlignment="1" applyProtection="1">
      <alignment vertical="center" wrapText="1"/>
    </xf>
    <xf numFmtId="3" fontId="1" fillId="4" borderId="19" xfId="1" applyNumberFormat="1" applyFont="1" applyFill="1" applyBorder="1" applyAlignment="1" applyProtection="1">
      <alignment vertical="center" wrapText="1"/>
    </xf>
    <xf numFmtId="3" fontId="1" fillId="4" borderId="20" xfId="1" applyNumberFormat="1" applyFont="1" applyFill="1" applyBorder="1" applyAlignment="1" applyProtection="1">
      <alignment vertical="center" wrapText="1"/>
    </xf>
    <xf numFmtId="4" fontId="2" fillId="4" borderId="26" xfId="2" applyNumberFormat="1" applyFont="1" applyFill="1" applyBorder="1" applyAlignment="1" applyProtection="1">
      <alignment horizontal="right" vertical="center"/>
    </xf>
    <xf numFmtId="0" fontId="1" fillId="0" borderId="0" xfId="1" applyFont="1" applyFill="1" applyAlignment="1" applyProtection="1">
      <alignment vertical="center"/>
    </xf>
    <xf numFmtId="0" fontId="2" fillId="4" borderId="27" xfId="1" applyFont="1" applyFill="1" applyBorder="1" applyAlignment="1" applyProtection="1">
      <alignment vertical="center" wrapText="1"/>
    </xf>
    <xf numFmtId="3" fontId="1" fillId="4" borderId="28" xfId="1" applyNumberFormat="1" applyFont="1" applyFill="1" applyBorder="1" applyAlignment="1" applyProtection="1">
      <alignment vertical="center" wrapText="1"/>
    </xf>
    <xf numFmtId="3" fontId="1" fillId="4" borderId="29" xfId="1" applyNumberFormat="1" applyFont="1" applyFill="1" applyBorder="1" applyAlignment="1" applyProtection="1">
      <alignment vertical="center" wrapText="1"/>
    </xf>
    <xf numFmtId="10" fontId="2" fillId="4" borderId="30" xfId="1" applyNumberFormat="1" applyFont="1" applyFill="1" applyBorder="1" applyAlignment="1" applyProtection="1">
      <alignment horizontal="center" vertical="center" wrapText="1"/>
    </xf>
    <xf numFmtId="3" fontId="2" fillId="4" borderId="31" xfId="1" applyNumberFormat="1" applyFont="1" applyFill="1" applyBorder="1" applyAlignment="1" applyProtection="1">
      <alignment vertical="center"/>
    </xf>
    <xf numFmtId="4" fontId="2" fillId="4" borderId="32" xfId="1" applyNumberFormat="1" applyFont="1" applyFill="1" applyBorder="1" applyAlignment="1" applyProtection="1">
      <alignment horizontal="right" vertical="center"/>
    </xf>
    <xf numFmtId="4" fontId="2" fillId="4" borderId="31" xfId="1" applyNumberFormat="1" applyFont="1" applyFill="1" applyBorder="1" applyAlignment="1" applyProtection="1">
      <alignment horizontal="right" vertical="center"/>
    </xf>
    <xf numFmtId="10" fontId="2" fillId="4" borderId="30" xfId="1" applyNumberFormat="1" applyFont="1" applyFill="1" applyBorder="1" applyAlignment="1" applyProtection="1">
      <alignment horizontal="right" vertical="center"/>
    </xf>
    <xf numFmtId="0" fontId="2" fillId="2" borderId="24" xfId="1" applyFont="1" applyFill="1" applyBorder="1" applyAlignment="1" applyProtection="1">
      <alignment horizontal="center"/>
    </xf>
    <xf numFmtId="0" fontId="2" fillId="2" borderId="33" xfId="1" applyFont="1" applyFill="1" applyBorder="1" applyAlignment="1" applyProtection="1">
      <alignment wrapText="1"/>
    </xf>
    <xf numFmtId="4" fontId="2" fillId="2" borderId="26" xfId="1" applyNumberFormat="1" applyFont="1" applyFill="1" applyBorder="1" applyAlignment="1" applyProtection="1">
      <alignment wrapText="1"/>
    </xf>
    <xf numFmtId="4" fontId="2" fillId="2" borderId="34" xfId="1" applyNumberFormat="1" applyFont="1" applyFill="1" applyBorder="1" applyAlignment="1" applyProtection="1">
      <alignment wrapText="1"/>
    </xf>
    <xf numFmtId="4" fontId="2" fillId="2" borderId="34" xfId="1" applyNumberFormat="1" applyFont="1" applyFill="1" applyBorder="1" applyAlignment="1" applyProtection="1">
      <alignment vertical="center" wrapText="1"/>
    </xf>
    <xf numFmtId="10" fontId="2" fillId="2" borderId="35" xfId="1" applyNumberFormat="1" applyFont="1" applyFill="1" applyBorder="1" applyAlignment="1" applyProtection="1">
      <alignment horizontal="center" vertical="center" wrapText="1"/>
    </xf>
    <xf numFmtId="4" fontId="4" fillId="2" borderId="26" xfId="1" applyNumberFormat="1" applyFont="1" applyFill="1" applyBorder="1" applyAlignment="1" applyProtection="1">
      <alignment horizontal="right"/>
    </xf>
    <xf numFmtId="10" fontId="2" fillId="2" borderId="35" xfId="1" applyNumberFormat="1" applyFont="1" applyFill="1" applyBorder="1" applyAlignment="1" applyProtection="1">
      <alignment horizontal="right" vertical="center"/>
    </xf>
    <xf numFmtId="3" fontId="1" fillId="0" borderId="0" xfId="1" applyNumberFormat="1" applyFill="1" applyAlignment="1" applyProtection="1">
      <alignment wrapText="1"/>
    </xf>
    <xf numFmtId="3" fontId="1" fillId="0" borderId="0" xfId="1" applyNumberFormat="1" applyFill="1" applyProtection="1"/>
    <xf numFmtId="0" fontId="5" fillId="0" borderId="0" xfId="1" applyFont="1" applyFill="1" applyProtection="1"/>
    <xf numFmtId="3" fontId="6" fillId="0" borderId="0" xfId="0" applyNumberFormat="1" applyFont="1" applyProtection="1"/>
    <xf numFmtId="3" fontId="1" fillId="0" borderId="0" xfId="1" applyNumberFormat="1" applyFill="1" applyAlignment="1" applyProtection="1">
      <alignment horizontal="center"/>
    </xf>
    <xf numFmtId="4" fontId="1" fillId="0" borderId="0" xfId="1" applyNumberFormat="1" applyFill="1" applyProtection="1"/>
    <xf numFmtId="4" fontId="7" fillId="0" borderId="0" xfId="0" applyNumberFormat="1" applyFont="1" applyProtection="1"/>
    <xf numFmtId="0" fontId="2" fillId="0" borderId="12" xfId="1" applyFont="1" applyFill="1" applyBorder="1" applyAlignment="1" applyProtection="1">
      <alignment horizontal="center" vertical="center" wrapText="1"/>
    </xf>
    <xf numFmtId="0" fontId="2" fillId="0" borderId="22" xfId="1" applyFont="1" applyFill="1" applyBorder="1" applyAlignment="1" applyProtection="1">
      <alignment horizontal="center" vertical="center" wrapText="1"/>
    </xf>
    <xf numFmtId="0" fontId="2" fillId="0" borderId="16" xfId="1" applyFont="1" applyFill="1" applyBorder="1" applyAlignment="1" applyProtection="1">
      <alignment horizontal="center" vertical="center" wrapText="1"/>
    </xf>
    <xf numFmtId="0" fontId="2" fillId="0" borderId="24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15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horizontal="center" wrapText="1"/>
    </xf>
    <xf numFmtId="0" fontId="2" fillId="2" borderId="3" xfId="1" applyFont="1" applyFill="1" applyBorder="1" applyAlignment="1" applyProtection="1">
      <alignment horizontal="center" wrapText="1"/>
    </xf>
    <xf numFmtId="0" fontId="2" fillId="3" borderId="4" xfId="1" applyFont="1" applyFill="1" applyBorder="1" applyAlignment="1" applyProtection="1">
      <alignment horizontal="center"/>
    </xf>
    <xf numFmtId="0" fontId="2" fillId="3" borderId="5" xfId="1" applyFont="1" applyFill="1" applyBorder="1" applyAlignment="1" applyProtection="1">
      <alignment horizontal="center"/>
    </xf>
    <xf numFmtId="0" fontId="2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/>
    </xf>
    <xf numFmtId="0" fontId="1" fillId="5" borderId="6" xfId="1" applyFont="1" applyFill="1" applyBorder="1" applyAlignment="1" applyProtection="1">
      <alignment horizontal="center"/>
    </xf>
    <xf numFmtId="0" fontId="1" fillId="5" borderId="7" xfId="1" applyFill="1" applyBorder="1" applyAlignment="1" applyProtection="1">
      <alignment horizontal="center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ill="1" applyBorder="1" applyAlignment="1" applyProtection="1">
      <alignment horizontal="center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21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/>
    </xf>
    <xf numFmtId="0" fontId="2" fillId="0" borderId="10" xfId="1" applyFont="1" applyFill="1" applyBorder="1" applyAlignment="1" applyProtection="1">
      <alignment horizontal="center"/>
    </xf>
    <xf numFmtId="0" fontId="2" fillId="0" borderId="13" xfId="1" applyFont="1" applyFill="1" applyBorder="1" applyAlignment="1" applyProtection="1">
      <alignment horizontal="center" vertical="center" wrapText="1"/>
    </xf>
    <xf numFmtId="0" fontId="1" fillId="0" borderId="23" xfId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horizontal="center" vertical="center"/>
    </xf>
    <xf numFmtId="0" fontId="1" fillId="0" borderId="8" xfId="1" applyFill="1" applyBorder="1" applyAlignment="1" applyProtection="1">
      <alignment horizontal="center" vertical="center"/>
    </xf>
    <xf numFmtId="0" fontId="1" fillId="0" borderId="17" xfId="1" applyFill="1" applyBorder="1" applyAlignment="1" applyProtection="1">
      <alignment horizontal="center" vertical="center"/>
    </xf>
    <xf numFmtId="0" fontId="1" fillId="0" borderId="1" xfId="1" applyFill="1" applyBorder="1" applyAlignment="1" applyProtection="1">
      <alignment horizontal="center" vertical="center" wrapText="1"/>
    </xf>
    <xf numFmtId="0" fontId="1" fillId="0" borderId="18" xfId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1" fillId="0" borderId="20" xfId="1" applyFill="1" applyBorder="1" applyAlignment="1" applyProtection="1">
      <alignment horizontal="center" vertical="center" wrapText="1"/>
    </xf>
  </cellXfs>
  <cellStyles count="3">
    <cellStyle name="Normal" xfId="0" builtinId="0"/>
    <cellStyle name="Normal 83" xfId="1"/>
    <cellStyle name="Normal 83_CUADRO FINANCIERO SIMPLIFICAD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yudas%20al%20desarrollo%20Rural\Periodo%202014-2020\indicadores\plan%20de%20indicadores%20antiguos%20O%20y%20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1a"/>
      <sheetName val="1b"/>
      <sheetName val="1c"/>
      <sheetName val="2a"/>
      <sheetName val="2b"/>
      <sheetName val="3a"/>
      <sheetName val="3b"/>
      <sheetName val="P4"/>
      <sheetName val="P4 (FO)"/>
      <sheetName val="5a"/>
      <sheetName val="5b"/>
      <sheetName val="5C"/>
      <sheetName val="5D"/>
      <sheetName val="5e"/>
      <sheetName val="6a"/>
      <sheetName val="6b"/>
      <sheetName val="6c"/>
      <sheetName val="Annex 1 A1 P4"/>
      <sheetName val="Annex 1 A2 P4 FO"/>
      <sheetName val="table 3 additional contribution"/>
      <sheetName val="Table overview exp"/>
      <sheetName val="technical sheet AEM typology"/>
      <sheetName val="tech sheet 2"/>
      <sheetName val="context indicator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">
          <cell r="G10" t="str">
            <v>√</v>
          </cell>
          <cell r="H10" t="str">
            <v>√</v>
          </cell>
        </row>
        <row r="12">
          <cell r="G12" t="str">
            <v>P</v>
          </cell>
        </row>
      </sheetData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5"/>
  <sheetViews>
    <sheetView tabSelected="1" zoomScale="80" zoomScaleNormal="80" workbookViewId="0">
      <pane xSplit="2" ySplit="4" topLeftCell="N5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baseColWidth="10" defaultColWidth="11.42578125" defaultRowHeight="12.75" x14ac:dyDescent="0.2"/>
  <cols>
    <col min="1" max="1" width="12" style="1" customWidth="1"/>
    <col min="2" max="2" width="74.140625" style="2" bestFit="1" customWidth="1"/>
    <col min="3" max="3" width="13.5703125" style="2" hidden="1" customWidth="1"/>
    <col min="4" max="4" width="14.5703125" style="2" hidden="1" customWidth="1"/>
    <col min="5" max="5" width="13.7109375" style="2" hidden="1" customWidth="1"/>
    <col min="6" max="6" width="14.5703125" style="2" hidden="1" customWidth="1"/>
    <col min="7" max="7" width="8.7109375" style="2" hidden="1" customWidth="1"/>
    <col min="8" max="9" width="13.5703125" style="3" hidden="1" customWidth="1"/>
    <col min="10" max="10" width="12.42578125" style="3" hidden="1" customWidth="1"/>
    <col min="11" max="11" width="13" style="3" hidden="1" customWidth="1"/>
    <col min="12" max="12" width="11.5703125" style="3" hidden="1" customWidth="1"/>
    <col min="13" max="13" width="13.5703125" style="3" hidden="1" customWidth="1"/>
    <col min="14" max="14" width="17.7109375" style="3" bestFit="1" customWidth="1"/>
    <col min="15" max="15" width="21.7109375" style="3" bestFit="1" customWidth="1"/>
    <col min="16" max="16" width="18" style="3" customWidth="1"/>
    <col min="17" max="17" width="14.5703125" style="3" bestFit="1" customWidth="1"/>
    <col min="18" max="18" width="8.7109375" style="1" bestFit="1" customWidth="1"/>
    <col min="19" max="19" width="17.7109375" style="3" bestFit="1" customWidth="1"/>
    <col min="20" max="20" width="19.42578125" style="3" customWidth="1"/>
    <col min="21" max="21" width="16.42578125" style="3" customWidth="1"/>
    <col min="22" max="22" width="14.5703125" style="3" bestFit="1" customWidth="1"/>
    <col min="23" max="23" width="21.85546875" style="3" customWidth="1"/>
    <col min="24" max="24" width="13.7109375" style="3" bestFit="1" customWidth="1"/>
    <col min="25" max="25" width="16.28515625" style="3" customWidth="1"/>
    <col min="26" max="26" width="15.140625" style="3" customWidth="1"/>
    <col min="27" max="27" width="17" style="3" customWidth="1"/>
    <col min="28" max="28" width="11.42578125" style="3"/>
    <col min="29" max="29" width="12.42578125" style="3" bestFit="1" customWidth="1"/>
    <col min="30" max="16384" width="11.42578125" style="3"/>
  </cols>
  <sheetData>
    <row r="1" spans="1:27" ht="13.5" thickBot="1" x14ac:dyDescent="0.25"/>
    <row r="2" spans="1:27" ht="15.75" customHeight="1" thickBot="1" x14ac:dyDescent="0.25">
      <c r="C2" s="81" t="s">
        <v>0</v>
      </c>
      <c r="D2" s="82"/>
      <c r="E2" s="82"/>
      <c r="F2" s="82"/>
      <c r="G2" s="83"/>
      <c r="H2" s="84" t="s">
        <v>1</v>
      </c>
      <c r="I2" s="85"/>
      <c r="J2" s="85"/>
      <c r="K2" s="85"/>
      <c r="L2" s="85"/>
      <c r="M2" s="85"/>
      <c r="N2" s="86"/>
      <c r="O2" s="86"/>
      <c r="P2" s="86"/>
      <c r="Q2" s="86"/>
      <c r="R2" s="87"/>
      <c r="S2" s="88" t="s">
        <v>2</v>
      </c>
      <c r="T2" s="89"/>
      <c r="U2" s="89"/>
      <c r="V2" s="89"/>
      <c r="W2" s="90" t="s">
        <v>3</v>
      </c>
      <c r="X2" s="91"/>
      <c r="Y2" s="91"/>
      <c r="Z2" s="91"/>
    </row>
    <row r="3" spans="1:27" ht="12.75" customHeight="1" x14ac:dyDescent="0.2">
      <c r="A3" s="100" t="s">
        <v>4</v>
      </c>
      <c r="B3" s="102" t="s">
        <v>5</v>
      </c>
      <c r="C3" s="104" t="s">
        <v>6</v>
      </c>
      <c r="D3" s="105"/>
      <c r="E3" s="105" t="s">
        <v>7</v>
      </c>
      <c r="F3" s="105" t="s">
        <v>8</v>
      </c>
      <c r="G3" s="92" t="s">
        <v>9</v>
      </c>
      <c r="H3" s="94" t="s">
        <v>10</v>
      </c>
      <c r="I3" s="95"/>
      <c r="J3" s="95" t="s">
        <v>11</v>
      </c>
      <c r="K3" s="95"/>
      <c r="L3" s="75" t="s">
        <v>12</v>
      </c>
      <c r="M3" s="96" t="s">
        <v>13</v>
      </c>
      <c r="N3" s="79" t="s">
        <v>14</v>
      </c>
      <c r="O3" s="80"/>
      <c r="P3" s="75" t="s">
        <v>15</v>
      </c>
      <c r="Q3" s="77" t="s">
        <v>16</v>
      </c>
      <c r="R3" s="98" t="s">
        <v>9</v>
      </c>
      <c r="S3" s="79" t="s">
        <v>14</v>
      </c>
      <c r="T3" s="80"/>
      <c r="U3" s="75" t="s">
        <v>15</v>
      </c>
      <c r="V3" s="77" t="s">
        <v>16</v>
      </c>
      <c r="W3" s="79" t="s">
        <v>14</v>
      </c>
      <c r="X3" s="80"/>
      <c r="Y3" s="75" t="s">
        <v>15</v>
      </c>
      <c r="Z3" s="77" t="s">
        <v>16</v>
      </c>
    </row>
    <row r="4" spans="1:27" ht="25.5" x14ac:dyDescent="0.2">
      <c r="A4" s="101"/>
      <c r="B4" s="103"/>
      <c r="C4" s="4" t="s">
        <v>17</v>
      </c>
      <c r="D4" s="5" t="s">
        <v>18</v>
      </c>
      <c r="E4" s="106"/>
      <c r="F4" s="106"/>
      <c r="G4" s="93"/>
      <c r="H4" s="6" t="s">
        <v>17</v>
      </c>
      <c r="I4" s="7" t="s">
        <v>19</v>
      </c>
      <c r="J4" s="8" t="s">
        <v>20</v>
      </c>
      <c r="K4" s="8" t="s">
        <v>19</v>
      </c>
      <c r="L4" s="76"/>
      <c r="M4" s="97"/>
      <c r="N4" s="4" t="s">
        <v>21</v>
      </c>
      <c r="O4" s="5" t="s">
        <v>22</v>
      </c>
      <c r="P4" s="76"/>
      <c r="Q4" s="78"/>
      <c r="R4" s="99"/>
      <c r="S4" s="4" t="s">
        <v>21</v>
      </c>
      <c r="T4" s="5" t="s">
        <v>22</v>
      </c>
      <c r="U4" s="76"/>
      <c r="V4" s="78"/>
      <c r="W4" s="4" t="s">
        <v>21</v>
      </c>
      <c r="X4" s="5" t="s">
        <v>22</v>
      </c>
      <c r="Y4" s="76"/>
      <c r="Z4" s="78"/>
    </row>
    <row r="5" spans="1:27" s="17" customFormat="1" x14ac:dyDescent="0.25">
      <c r="A5" s="9">
        <v>1</v>
      </c>
      <c r="B5" s="10" t="s">
        <v>23</v>
      </c>
      <c r="C5" s="11">
        <v>1725000</v>
      </c>
      <c r="D5" s="12">
        <f>C5/0.5</f>
        <v>3450000</v>
      </c>
      <c r="E5" s="12">
        <v>1500000</v>
      </c>
      <c r="F5" s="12">
        <f>D5+E5</f>
        <v>4950000</v>
      </c>
      <c r="G5" s="13">
        <f t="shared" ref="G5:G45" si="0">F5/F$47</f>
        <v>2.4529236868186324E-2</v>
      </c>
      <c r="H5" s="14">
        <f>N5-C5</f>
        <v>177020</v>
      </c>
      <c r="I5" s="14">
        <f>O5-D5</f>
        <v>354040</v>
      </c>
      <c r="J5" s="14">
        <f t="shared" ref="J5:P5" si="1">+J6+J9</f>
        <v>0</v>
      </c>
      <c r="K5" s="14">
        <f t="shared" si="1"/>
        <v>0</v>
      </c>
      <c r="L5" s="14">
        <f>P5-E5</f>
        <v>685960</v>
      </c>
      <c r="M5" s="14">
        <f t="shared" si="1"/>
        <v>1040000</v>
      </c>
      <c r="N5" s="15">
        <f t="shared" si="1"/>
        <v>1902020</v>
      </c>
      <c r="O5" s="15">
        <f t="shared" si="1"/>
        <v>3804040</v>
      </c>
      <c r="P5" s="15">
        <f t="shared" si="1"/>
        <v>2185960</v>
      </c>
      <c r="Q5" s="15">
        <f>+Q6+Q9</f>
        <v>5990000</v>
      </c>
      <c r="R5" s="16">
        <f t="shared" ref="R5:R45" si="2">Q5/Q$47</f>
        <v>2.4118737859119603E-2</v>
      </c>
      <c r="S5" s="15">
        <f t="shared" ref="S5:U5" si="3">+S6+S9</f>
        <v>1902020</v>
      </c>
      <c r="T5" s="15">
        <f t="shared" si="3"/>
        <v>3804040</v>
      </c>
      <c r="U5" s="15">
        <f t="shared" si="3"/>
        <v>2335960</v>
      </c>
      <c r="V5" s="15">
        <f>+V6+V9</f>
        <v>6140000</v>
      </c>
      <c r="W5" s="15">
        <f t="shared" ref="W5:Z5" si="4">+W6+W9</f>
        <v>0</v>
      </c>
      <c r="X5" s="15">
        <f t="shared" si="4"/>
        <v>0</v>
      </c>
      <c r="Y5" s="15">
        <f t="shared" si="4"/>
        <v>150000</v>
      </c>
      <c r="Z5" s="15">
        <f t="shared" si="4"/>
        <v>150000</v>
      </c>
    </row>
    <row r="6" spans="1:27" s="17" customFormat="1" x14ac:dyDescent="0.25">
      <c r="A6" s="18" t="s">
        <v>24</v>
      </c>
      <c r="B6" s="19" t="s">
        <v>25</v>
      </c>
      <c r="C6" s="20">
        <f>+C7+C8</f>
        <v>1300000</v>
      </c>
      <c r="D6" s="21">
        <f t="shared" ref="D6:D8" si="5">+C6/0.5</f>
        <v>2600000</v>
      </c>
      <c r="E6" s="22">
        <f>+E7+E8</f>
        <v>1100000</v>
      </c>
      <c r="F6" s="22">
        <f t="shared" ref="F6:F47" si="6">D6+E6</f>
        <v>3700000</v>
      </c>
      <c r="G6" s="23">
        <f t="shared" si="0"/>
        <v>1.8334985133795837E-2</v>
      </c>
      <c r="H6" s="24">
        <f t="shared" ref="H6:I45" si="7">N6-C6</f>
        <v>152878</v>
      </c>
      <c r="I6" s="24">
        <f t="shared" si="7"/>
        <v>305756</v>
      </c>
      <c r="J6" s="24"/>
      <c r="K6" s="24"/>
      <c r="L6" s="24">
        <f t="shared" ref="L6:L47" si="8">P6-E6</f>
        <v>444244</v>
      </c>
      <c r="M6" s="24">
        <f t="shared" ref="M6:M45" si="9">I6+K6+L6</f>
        <v>750000</v>
      </c>
      <c r="N6" s="25">
        <f>+N7+N8</f>
        <v>1452878</v>
      </c>
      <c r="O6" s="25">
        <f>+O7+O8</f>
        <v>2905756</v>
      </c>
      <c r="P6" s="25">
        <f>+P7+P8</f>
        <v>1544244</v>
      </c>
      <c r="Q6" s="26">
        <f t="shared" ref="Q6:Q8" si="10">+P6+O6</f>
        <v>4450000</v>
      </c>
      <c r="R6" s="27">
        <f t="shared" si="2"/>
        <v>1.7917927124053795E-2</v>
      </c>
      <c r="S6" s="25">
        <f>+S7+S8</f>
        <v>1452878</v>
      </c>
      <c r="T6" s="25">
        <f>+T7+T8</f>
        <v>2905756</v>
      </c>
      <c r="U6" s="28">
        <f t="shared" ref="U6:U8" si="11">P6+Y6</f>
        <v>1544244</v>
      </c>
      <c r="V6" s="26">
        <f t="shared" ref="V6:V8" si="12">+U6+T6</f>
        <v>4450000</v>
      </c>
      <c r="W6" s="25">
        <f>+W7+W8</f>
        <v>0</v>
      </c>
      <c r="X6" s="25">
        <f t="shared" ref="X6:Y6" si="13">+X7+X8</f>
        <v>0</v>
      </c>
      <c r="Y6" s="25">
        <f t="shared" si="13"/>
        <v>0</v>
      </c>
      <c r="Z6" s="25">
        <f>+Z7+Z8</f>
        <v>0</v>
      </c>
    </row>
    <row r="7" spans="1:27" s="17" customFormat="1" x14ac:dyDescent="0.25">
      <c r="A7" s="18" t="s">
        <v>26</v>
      </c>
      <c r="B7" s="19" t="s">
        <v>27</v>
      </c>
      <c r="C7" s="29">
        <v>750000</v>
      </c>
      <c r="D7" s="30">
        <f t="shared" si="5"/>
        <v>1500000</v>
      </c>
      <c r="E7" s="30">
        <v>600000</v>
      </c>
      <c r="F7" s="31">
        <f t="shared" si="6"/>
        <v>2100000</v>
      </c>
      <c r="G7" s="23">
        <f t="shared" si="0"/>
        <v>1.0406342913776016E-2</v>
      </c>
      <c r="H7" s="24">
        <f t="shared" si="7"/>
        <v>-10764</v>
      </c>
      <c r="I7" s="24">
        <f t="shared" si="7"/>
        <v>-21528</v>
      </c>
      <c r="J7" s="24"/>
      <c r="K7" s="24"/>
      <c r="L7" s="24">
        <f t="shared" si="8"/>
        <v>471528</v>
      </c>
      <c r="M7" s="24">
        <f t="shared" si="9"/>
        <v>450000</v>
      </c>
      <c r="N7" s="32">
        <v>739236</v>
      </c>
      <c r="O7" s="33">
        <f>N7/0.5</f>
        <v>1478472</v>
      </c>
      <c r="P7" s="28">
        <v>1071528</v>
      </c>
      <c r="Q7" s="26">
        <f t="shared" si="10"/>
        <v>2550000</v>
      </c>
      <c r="R7" s="27">
        <f t="shared" si="2"/>
        <v>1.0267576217154422E-2</v>
      </c>
      <c r="S7" s="32">
        <f>N7+W7</f>
        <v>739236</v>
      </c>
      <c r="T7" s="33">
        <f>S7/0.5</f>
        <v>1478472</v>
      </c>
      <c r="U7" s="28">
        <f t="shared" si="11"/>
        <v>1071528</v>
      </c>
      <c r="V7" s="26">
        <f t="shared" si="12"/>
        <v>2550000</v>
      </c>
      <c r="W7" s="32">
        <v>0</v>
      </c>
      <c r="X7" s="33">
        <v>0</v>
      </c>
      <c r="Y7" s="28">
        <v>0</v>
      </c>
      <c r="Z7" s="26">
        <v>0</v>
      </c>
    </row>
    <row r="8" spans="1:27" s="17" customFormat="1" x14ac:dyDescent="0.25">
      <c r="A8" s="18" t="s">
        <v>28</v>
      </c>
      <c r="B8" s="19" t="s">
        <v>29</v>
      </c>
      <c r="C8" s="29">
        <v>550000</v>
      </c>
      <c r="D8" s="30">
        <f t="shared" si="5"/>
        <v>1100000</v>
      </c>
      <c r="E8" s="30">
        <v>500000</v>
      </c>
      <c r="F8" s="31">
        <f t="shared" si="6"/>
        <v>1600000</v>
      </c>
      <c r="G8" s="23">
        <f t="shared" si="0"/>
        <v>7.9286422200198214E-3</v>
      </c>
      <c r="H8" s="24">
        <f t="shared" si="7"/>
        <v>163642</v>
      </c>
      <c r="I8" s="24">
        <f t="shared" si="7"/>
        <v>327284</v>
      </c>
      <c r="J8" s="24"/>
      <c r="K8" s="24"/>
      <c r="L8" s="24">
        <f t="shared" si="8"/>
        <v>-27284</v>
      </c>
      <c r="M8" s="24">
        <f t="shared" si="9"/>
        <v>300000</v>
      </c>
      <c r="N8" s="32">
        <v>713642</v>
      </c>
      <c r="O8" s="33">
        <f>N8/0.5</f>
        <v>1427284</v>
      </c>
      <c r="P8" s="28">
        <v>472716</v>
      </c>
      <c r="Q8" s="26">
        <f t="shared" si="10"/>
        <v>1900000</v>
      </c>
      <c r="R8" s="27">
        <f t="shared" si="2"/>
        <v>7.6503509068993726E-3</v>
      </c>
      <c r="S8" s="32">
        <f t="shared" ref="S8:S9" si="14">N8+W8</f>
        <v>713642</v>
      </c>
      <c r="T8" s="33">
        <f>S8/0.5</f>
        <v>1427284</v>
      </c>
      <c r="U8" s="28">
        <f t="shared" si="11"/>
        <v>472716</v>
      </c>
      <c r="V8" s="26">
        <f t="shared" si="12"/>
        <v>1900000</v>
      </c>
      <c r="W8" s="32">
        <v>0</v>
      </c>
      <c r="X8" s="33">
        <v>0</v>
      </c>
      <c r="Y8" s="28">
        <v>0</v>
      </c>
      <c r="Z8" s="26">
        <v>0</v>
      </c>
    </row>
    <row r="9" spans="1:27" s="17" customFormat="1" x14ac:dyDescent="0.25">
      <c r="A9" s="18" t="s">
        <v>30</v>
      </c>
      <c r="B9" s="19" t="s">
        <v>31</v>
      </c>
      <c r="C9" s="34">
        <v>425000</v>
      </c>
      <c r="D9" s="21">
        <f>+C9/0.5</f>
        <v>850000</v>
      </c>
      <c r="E9" s="21">
        <v>400000</v>
      </c>
      <c r="F9" s="22">
        <f t="shared" si="6"/>
        <v>1250000</v>
      </c>
      <c r="G9" s="23">
        <f t="shared" si="0"/>
        <v>6.1942517343904855E-3</v>
      </c>
      <c r="H9" s="24">
        <f t="shared" si="7"/>
        <v>24142</v>
      </c>
      <c r="I9" s="24">
        <f t="shared" si="7"/>
        <v>48284</v>
      </c>
      <c r="J9" s="24"/>
      <c r="K9" s="24"/>
      <c r="L9" s="24">
        <f t="shared" si="8"/>
        <v>241716</v>
      </c>
      <c r="M9" s="24">
        <f t="shared" si="9"/>
        <v>290000</v>
      </c>
      <c r="N9" s="32">
        <v>449142</v>
      </c>
      <c r="O9" s="33">
        <f>N9/0.5</f>
        <v>898284</v>
      </c>
      <c r="P9" s="28">
        <f>351716+290000</f>
        <v>641716</v>
      </c>
      <c r="Q9" s="26">
        <f>+P9+O9</f>
        <v>1540000</v>
      </c>
      <c r="R9" s="27">
        <f t="shared" si="2"/>
        <v>6.200810735065807E-3</v>
      </c>
      <c r="S9" s="32">
        <f t="shared" si="14"/>
        <v>449142</v>
      </c>
      <c r="T9" s="33">
        <f>S9/0.5</f>
        <v>898284</v>
      </c>
      <c r="U9" s="28">
        <f>P9+Y9</f>
        <v>791716</v>
      </c>
      <c r="V9" s="26">
        <f>+U9+T9</f>
        <v>1690000</v>
      </c>
      <c r="W9" s="32">
        <v>0</v>
      </c>
      <c r="X9" s="33">
        <v>0</v>
      </c>
      <c r="Y9" s="28">
        <v>150000</v>
      </c>
      <c r="Z9" s="26">
        <f>+Y9</f>
        <v>150000</v>
      </c>
    </row>
    <row r="10" spans="1:27" s="17" customFormat="1" x14ac:dyDescent="0.25">
      <c r="A10" s="9">
        <v>2</v>
      </c>
      <c r="B10" s="10" t="s">
        <v>32</v>
      </c>
      <c r="C10" s="11">
        <v>2100000</v>
      </c>
      <c r="D10" s="12">
        <f t="shared" ref="D10:D47" si="15">C10/0.5</f>
        <v>4200000</v>
      </c>
      <c r="E10" s="12">
        <v>1800000</v>
      </c>
      <c r="F10" s="12">
        <f t="shared" si="6"/>
        <v>6000000</v>
      </c>
      <c r="G10" s="13">
        <f t="shared" si="0"/>
        <v>2.973240832507433E-2</v>
      </c>
      <c r="H10" s="35">
        <f t="shared" si="7"/>
        <v>880002</v>
      </c>
      <c r="I10" s="35">
        <f t="shared" si="7"/>
        <v>1760004</v>
      </c>
      <c r="J10" s="35"/>
      <c r="K10" s="35"/>
      <c r="L10" s="35">
        <f t="shared" si="8"/>
        <v>-460004</v>
      </c>
      <c r="M10" s="35">
        <f t="shared" si="9"/>
        <v>1300000</v>
      </c>
      <c r="N10" s="36">
        <v>2980002</v>
      </c>
      <c r="O10" s="37">
        <f>N10/0.5</f>
        <v>5960004</v>
      </c>
      <c r="P10" s="38">
        <v>1339996</v>
      </c>
      <c r="Q10" s="39">
        <f>+P10+O10</f>
        <v>7300000</v>
      </c>
      <c r="R10" s="16">
        <f t="shared" si="2"/>
        <v>2.9393453484402855E-2</v>
      </c>
      <c r="S10" s="36">
        <f>+N10+W10</f>
        <v>3180002</v>
      </c>
      <c r="T10" s="37">
        <f>S10/0.5</f>
        <v>6360004</v>
      </c>
      <c r="U10" s="38">
        <f>+P10+Y10</f>
        <v>1339996</v>
      </c>
      <c r="V10" s="39">
        <f>+U10+T10</f>
        <v>7700000</v>
      </c>
      <c r="W10" s="36">
        <v>200000</v>
      </c>
      <c r="X10" s="37">
        <f>W10/0.5</f>
        <v>400000</v>
      </c>
      <c r="Y10" s="38">
        <v>0</v>
      </c>
      <c r="Z10" s="39">
        <f>+Y10+X10</f>
        <v>400000</v>
      </c>
    </row>
    <row r="11" spans="1:27" s="17" customFormat="1" x14ac:dyDescent="0.25">
      <c r="A11" s="9">
        <v>4</v>
      </c>
      <c r="B11" s="10" t="s">
        <v>33</v>
      </c>
      <c r="C11" s="11">
        <v>25400000</v>
      </c>
      <c r="D11" s="12">
        <f t="shared" si="15"/>
        <v>50800000</v>
      </c>
      <c r="E11" s="12">
        <v>21850000</v>
      </c>
      <c r="F11" s="12">
        <f t="shared" si="6"/>
        <v>72650000</v>
      </c>
      <c r="G11" s="13">
        <f t="shared" si="0"/>
        <v>0.360009910802775</v>
      </c>
      <c r="H11" s="35">
        <f t="shared" si="7"/>
        <v>5816499</v>
      </c>
      <c r="I11" s="35">
        <f t="shared" si="7"/>
        <v>11632998</v>
      </c>
      <c r="J11" s="35">
        <f>+J12</f>
        <v>3455537</v>
      </c>
      <c r="K11" s="35">
        <f>J11</f>
        <v>3455537</v>
      </c>
      <c r="L11" s="35">
        <f t="shared" si="8"/>
        <v>9867002</v>
      </c>
      <c r="M11" s="35">
        <f t="shared" si="9"/>
        <v>24955537</v>
      </c>
      <c r="N11" s="39">
        <f>+N12+N15+N16+N21</f>
        <v>31216499</v>
      </c>
      <c r="O11" s="39">
        <f t="shared" ref="O11:P11" si="16">+O12+O15+O16+O21</f>
        <v>62432998</v>
      </c>
      <c r="P11" s="39">
        <f t="shared" si="16"/>
        <v>31717002</v>
      </c>
      <c r="Q11" s="39">
        <f>+Q12+Q15+Q16+Q21</f>
        <v>97605537</v>
      </c>
      <c r="R11" s="16">
        <f t="shared" si="2"/>
        <v>0.39300874131913172</v>
      </c>
      <c r="S11" s="39">
        <f>+S12+S15+S16+S21</f>
        <v>31316499</v>
      </c>
      <c r="T11" s="39">
        <f t="shared" ref="T11:U11" si="17">+T12+T15+T16+T21</f>
        <v>62632998</v>
      </c>
      <c r="U11" s="39">
        <f t="shared" si="17"/>
        <v>31421623</v>
      </c>
      <c r="V11" s="39">
        <f>+V12+V15+V16+V21</f>
        <v>97510158</v>
      </c>
      <c r="W11" s="39">
        <f>+W12+W15+W16+W21</f>
        <v>100000</v>
      </c>
      <c r="X11" s="39">
        <f t="shared" ref="X11:Z11" si="18">+X12+X15+X16+X21</f>
        <v>200000</v>
      </c>
      <c r="Y11" s="39">
        <f t="shared" si="18"/>
        <v>-295379</v>
      </c>
      <c r="Z11" s="39">
        <f t="shared" si="18"/>
        <v>-95379</v>
      </c>
      <c r="AA11" s="40"/>
    </row>
    <row r="12" spans="1:27" s="17" customFormat="1" x14ac:dyDescent="0.25">
      <c r="A12" s="18" t="s">
        <v>34</v>
      </c>
      <c r="B12" s="19" t="s">
        <v>35</v>
      </c>
      <c r="C12" s="20">
        <f>+C13+C14</f>
        <v>11250000</v>
      </c>
      <c r="D12" s="22">
        <f t="shared" si="15"/>
        <v>22500000</v>
      </c>
      <c r="E12" s="22">
        <f>+E13+E14</f>
        <v>9500000</v>
      </c>
      <c r="F12" s="22">
        <f t="shared" si="6"/>
        <v>32000000</v>
      </c>
      <c r="G12" s="41">
        <f t="shared" si="0"/>
        <v>0.15857284440039643</v>
      </c>
      <c r="H12" s="42">
        <f t="shared" si="7"/>
        <v>923745</v>
      </c>
      <c r="I12" s="42">
        <f t="shared" si="7"/>
        <v>1847490</v>
      </c>
      <c r="J12" s="42">
        <f>+J13</f>
        <v>3455537</v>
      </c>
      <c r="K12" s="42">
        <f>J12</f>
        <v>3455537</v>
      </c>
      <c r="L12" s="42">
        <f t="shared" si="8"/>
        <v>-1147490</v>
      </c>
      <c r="M12" s="42">
        <f t="shared" si="9"/>
        <v>4155537</v>
      </c>
      <c r="N12" s="43">
        <f>+N13+N14</f>
        <v>12173745</v>
      </c>
      <c r="O12" s="43">
        <f t="shared" ref="O12:Q12" si="19">+O13+O14</f>
        <v>24347490</v>
      </c>
      <c r="P12" s="43">
        <f t="shared" si="19"/>
        <v>8352510</v>
      </c>
      <c r="Q12" s="43">
        <f t="shared" si="19"/>
        <v>36155537</v>
      </c>
      <c r="R12" s="44">
        <f t="shared" si="2"/>
        <v>0.14558028698809675</v>
      </c>
      <c r="S12" s="43">
        <f>+S13+S14</f>
        <v>11823745</v>
      </c>
      <c r="T12" s="43">
        <f t="shared" ref="T12:V12" si="20">+T13+T14</f>
        <v>23647490</v>
      </c>
      <c r="U12" s="43">
        <f t="shared" si="20"/>
        <v>8352510</v>
      </c>
      <c r="V12" s="43">
        <f t="shared" si="20"/>
        <v>35455537</v>
      </c>
      <c r="W12" s="43">
        <f>+W13+W14</f>
        <v>-350000</v>
      </c>
      <c r="X12" s="43">
        <f>+X13+X14</f>
        <v>-700000</v>
      </c>
      <c r="Y12" s="43">
        <f>+Y13+Y14</f>
        <v>0</v>
      </c>
      <c r="Z12" s="43">
        <f>+Z13+Z14</f>
        <v>-700000</v>
      </c>
    </row>
    <row r="13" spans="1:27" s="17" customFormat="1" x14ac:dyDescent="0.25">
      <c r="A13" s="18" t="s">
        <v>36</v>
      </c>
      <c r="B13" s="19" t="s">
        <v>37</v>
      </c>
      <c r="C13" s="29">
        <v>8750000</v>
      </c>
      <c r="D13" s="31">
        <f t="shared" si="15"/>
        <v>17500000</v>
      </c>
      <c r="E13" s="30">
        <v>7500000</v>
      </c>
      <c r="F13" s="31">
        <f t="shared" si="6"/>
        <v>25000000</v>
      </c>
      <c r="G13" s="23">
        <f t="shared" si="0"/>
        <v>0.12388503468780972</v>
      </c>
      <c r="H13" s="24">
        <f t="shared" si="7"/>
        <v>1372932</v>
      </c>
      <c r="I13" s="24">
        <f t="shared" si="7"/>
        <v>2745864</v>
      </c>
      <c r="J13" s="24">
        <v>3455537</v>
      </c>
      <c r="K13" s="24">
        <f>J13</f>
        <v>3455537</v>
      </c>
      <c r="L13" s="24">
        <f t="shared" si="8"/>
        <v>-45864</v>
      </c>
      <c r="M13" s="24">
        <f t="shared" si="9"/>
        <v>6155537</v>
      </c>
      <c r="N13" s="32">
        <f>10422932-200000-100000</f>
        <v>10122932</v>
      </c>
      <c r="O13" s="33">
        <f>N13/0.5</f>
        <v>20245864</v>
      </c>
      <c r="P13" s="28">
        <f>7254136+200000</f>
        <v>7454136</v>
      </c>
      <c r="Q13" s="45">
        <f>+P13+O13+K13</f>
        <v>31155537</v>
      </c>
      <c r="R13" s="27">
        <f t="shared" si="2"/>
        <v>0.12544778460151945</v>
      </c>
      <c r="S13" s="32">
        <f>N13+W13</f>
        <v>10122932</v>
      </c>
      <c r="T13" s="33">
        <f>S13/0.5</f>
        <v>20245864</v>
      </c>
      <c r="U13" s="28">
        <f>+P13+Y13</f>
        <v>7454136</v>
      </c>
      <c r="V13" s="45">
        <f>+U13+T13+K13</f>
        <v>31155537</v>
      </c>
      <c r="W13" s="32">
        <v>0</v>
      </c>
      <c r="X13" s="33">
        <f>W13/0.5</f>
        <v>0</v>
      </c>
      <c r="Y13" s="28">
        <v>0</v>
      </c>
      <c r="Z13" s="45">
        <f>+Y13+X13</f>
        <v>0</v>
      </c>
    </row>
    <row r="14" spans="1:27" s="17" customFormat="1" x14ac:dyDescent="0.25">
      <c r="A14" s="18" t="s">
        <v>38</v>
      </c>
      <c r="B14" s="19" t="s">
        <v>39</v>
      </c>
      <c r="C14" s="29">
        <v>2500000</v>
      </c>
      <c r="D14" s="31">
        <f t="shared" si="15"/>
        <v>5000000</v>
      </c>
      <c r="E14" s="30">
        <v>2000000</v>
      </c>
      <c r="F14" s="31">
        <f t="shared" si="6"/>
        <v>7000000</v>
      </c>
      <c r="G14" s="23">
        <f t="shared" si="0"/>
        <v>3.4687809712586719E-2</v>
      </c>
      <c r="H14" s="24">
        <f t="shared" si="7"/>
        <v>-449187</v>
      </c>
      <c r="I14" s="24">
        <f t="shared" si="7"/>
        <v>-898374</v>
      </c>
      <c r="J14" s="24"/>
      <c r="K14" s="24"/>
      <c r="L14" s="24">
        <f t="shared" si="8"/>
        <v>-1101626</v>
      </c>
      <c r="M14" s="24">
        <f t="shared" si="9"/>
        <v>-2000000</v>
      </c>
      <c r="N14" s="32">
        <v>2050813</v>
      </c>
      <c r="O14" s="33">
        <f t="shared" ref="O14:O21" si="21">N14/0.5</f>
        <v>4101626</v>
      </c>
      <c r="P14" s="28">
        <v>898374</v>
      </c>
      <c r="Q14" s="45">
        <f t="shared" ref="Q14" si="22">+P14+O14</f>
        <v>5000000</v>
      </c>
      <c r="R14" s="27">
        <f t="shared" si="2"/>
        <v>2.0132502386577298E-2</v>
      </c>
      <c r="S14" s="32">
        <f t="shared" ref="S14:S15" si="23">N14+W14</f>
        <v>1700813</v>
      </c>
      <c r="T14" s="33">
        <f t="shared" ref="T14:T15" si="24">S14/0.5</f>
        <v>3401626</v>
      </c>
      <c r="U14" s="28">
        <f t="shared" ref="U14:U15" si="25">+P14+Y14</f>
        <v>898374</v>
      </c>
      <c r="V14" s="45">
        <f t="shared" ref="V14" si="26">+U14+T14</f>
        <v>4300000</v>
      </c>
      <c r="W14" s="32">
        <f>-200000-150000</f>
        <v>-350000</v>
      </c>
      <c r="X14" s="33">
        <f>W14/0.5</f>
        <v>-700000</v>
      </c>
      <c r="Y14" s="28">
        <v>0</v>
      </c>
      <c r="Z14" s="45">
        <f>+Y14+X14</f>
        <v>-700000</v>
      </c>
    </row>
    <row r="15" spans="1:27" s="17" customFormat="1" ht="25.5" x14ac:dyDescent="0.25">
      <c r="A15" s="18" t="s">
        <v>40</v>
      </c>
      <c r="B15" s="19" t="s">
        <v>41</v>
      </c>
      <c r="C15" s="29">
        <v>2800000</v>
      </c>
      <c r="D15" s="31">
        <f t="shared" si="15"/>
        <v>5600000</v>
      </c>
      <c r="E15" s="30">
        <v>2500000</v>
      </c>
      <c r="F15" s="31">
        <f t="shared" si="6"/>
        <v>8100000</v>
      </c>
      <c r="G15" s="23">
        <f t="shared" si="0"/>
        <v>4.013875123885035E-2</v>
      </c>
      <c r="H15" s="24">
        <f t="shared" si="7"/>
        <v>0</v>
      </c>
      <c r="I15" s="24">
        <f t="shared" si="7"/>
        <v>0</v>
      </c>
      <c r="J15" s="24"/>
      <c r="K15" s="24"/>
      <c r="L15" s="24">
        <f t="shared" si="8"/>
        <v>15000000</v>
      </c>
      <c r="M15" s="24">
        <f t="shared" si="9"/>
        <v>15000000</v>
      </c>
      <c r="N15" s="43">
        <v>2800000</v>
      </c>
      <c r="O15" s="46">
        <f t="shared" si="21"/>
        <v>5600000</v>
      </c>
      <c r="P15" s="46">
        <v>17500000</v>
      </c>
      <c r="Q15" s="45">
        <f>+P15+O15</f>
        <v>23100000</v>
      </c>
      <c r="R15" s="44">
        <f t="shared" si="2"/>
        <v>9.3012161025987111E-2</v>
      </c>
      <c r="S15" s="32">
        <f t="shared" si="23"/>
        <v>2800000</v>
      </c>
      <c r="T15" s="46">
        <f t="shared" si="24"/>
        <v>5600000</v>
      </c>
      <c r="U15" s="28">
        <f t="shared" si="25"/>
        <v>17500000</v>
      </c>
      <c r="V15" s="45">
        <f>+U15+T15</f>
        <v>23100000</v>
      </c>
      <c r="W15" s="43"/>
      <c r="X15" s="46"/>
      <c r="Y15" s="46"/>
      <c r="Z15" s="45"/>
    </row>
    <row r="16" spans="1:27" s="17" customFormat="1" ht="25.5" x14ac:dyDescent="0.25">
      <c r="A16" s="18" t="s">
        <v>42</v>
      </c>
      <c r="B16" s="19" t="s">
        <v>43</v>
      </c>
      <c r="C16" s="20">
        <f>+C17+C18+C19+C20</f>
        <v>10600000</v>
      </c>
      <c r="D16" s="22">
        <f t="shared" si="15"/>
        <v>21200000</v>
      </c>
      <c r="E16" s="22">
        <f>+E17+E18+E19+E20</f>
        <v>9350000</v>
      </c>
      <c r="F16" s="22">
        <f t="shared" si="6"/>
        <v>30550000</v>
      </c>
      <c r="G16" s="41">
        <f t="shared" si="0"/>
        <v>0.15138751238850348</v>
      </c>
      <c r="H16" s="24">
        <f t="shared" si="7"/>
        <v>5242754</v>
      </c>
      <c r="I16" s="24">
        <f t="shared" si="7"/>
        <v>10485508</v>
      </c>
      <c r="J16" s="24"/>
      <c r="K16" s="24"/>
      <c r="L16" s="24">
        <f t="shared" si="8"/>
        <v>-3685508</v>
      </c>
      <c r="M16" s="24">
        <f t="shared" si="9"/>
        <v>6800000</v>
      </c>
      <c r="N16" s="43">
        <f>+N17+N18+N19+N20</f>
        <v>15842754</v>
      </c>
      <c r="O16" s="43">
        <f t="shared" ref="O16:Q16" si="27">+O17+O18+O19+O20</f>
        <v>31685508</v>
      </c>
      <c r="P16" s="43">
        <f t="shared" si="27"/>
        <v>5664492</v>
      </c>
      <c r="Q16" s="43">
        <f t="shared" si="27"/>
        <v>37350000</v>
      </c>
      <c r="R16" s="44">
        <f t="shared" si="2"/>
        <v>0.1503897928277324</v>
      </c>
      <c r="S16" s="43">
        <f>+S17+S18+S19+S20</f>
        <v>16292754</v>
      </c>
      <c r="T16" s="43">
        <f t="shared" ref="T16:V16" si="28">+T17+T18+T19+T20</f>
        <v>32585508</v>
      </c>
      <c r="U16" s="43">
        <f t="shared" si="28"/>
        <v>5369113</v>
      </c>
      <c r="V16" s="43">
        <f t="shared" si="28"/>
        <v>37954621</v>
      </c>
      <c r="W16" s="43">
        <f>+W17+W18+W19+W20</f>
        <v>450000</v>
      </c>
      <c r="X16" s="43">
        <f t="shared" ref="X16:Z16" si="29">+X17+X18+X19+X20</f>
        <v>900000</v>
      </c>
      <c r="Y16" s="43">
        <f t="shared" si="29"/>
        <v>-295379</v>
      </c>
      <c r="Z16" s="43">
        <f t="shared" si="29"/>
        <v>604621</v>
      </c>
    </row>
    <row r="17" spans="1:26" s="17" customFormat="1" x14ac:dyDescent="0.25">
      <c r="A17" s="18" t="s">
        <v>44</v>
      </c>
      <c r="B17" s="19" t="s">
        <v>45</v>
      </c>
      <c r="C17" s="29">
        <v>4950000</v>
      </c>
      <c r="D17" s="31">
        <f t="shared" si="15"/>
        <v>9900000</v>
      </c>
      <c r="E17" s="30">
        <v>4375000</v>
      </c>
      <c r="F17" s="31">
        <f t="shared" si="6"/>
        <v>14275000</v>
      </c>
      <c r="G17" s="23">
        <f t="shared" si="0"/>
        <v>7.0738354806739345E-2</v>
      </c>
      <c r="H17" s="24">
        <f t="shared" si="7"/>
        <v>662500</v>
      </c>
      <c r="I17" s="24">
        <f t="shared" si="7"/>
        <v>1325000</v>
      </c>
      <c r="J17" s="24"/>
      <c r="K17" s="24"/>
      <c r="L17" s="24">
        <f t="shared" si="8"/>
        <v>-1900000</v>
      </c>
      <c r="M17" s="24">
        <f t="shared" si="9"/>
        <v>-575000</v>
      </c>
      <c r="N17" s="32">
        <f>5412500+200000</f>
        <v>5612500</v>
      </c>
      <c r="O17" s="46">
        <f t="shared" si="21"/>
        <v>11225000</v>
      </c>
      <c r="P17" s="28">
        <f>2875000-400000</f>
        <v>2475000</v>
      </c>
      <c r="Q17" s="26">
        <f t="shared" ref="Q17:Q19" si="30">O17+P17</f>
        <v>13700000</v>
      </c>
      <c r="R17" s="27">
        <f t="shared" si="2"/>
        <v>5.5163056539221794E-2</v>
      </c>
      <c r="S17" s="32">
        <f>N17+W17</f>
        <v>6112500</v>
      </c>
      <c r="T17" s="46">
        <f t="shared" ref="T17:T21" si="31">S17/0.5</f>
        <v>12225000</v>
      </c>
      <c r="U17" s="28">
        <f>+P17+Y17</f>
        <v>2475000</v>
      </c>
      <c r="V17" s="26">
        <f t="shared" ref="V17:V19" si="32">T17+U17</f>
        <v>14700000</v>
      </c>
      <c r="W17" s="32">
        <v>500000</v>
      </c>
      <c r="X17" s="46">
        <f>W17/0.5</f>
        <v>1000000</v>
      </c>
      <c r="Y17" s="28">
        <v>0</v>
      </c>
      <c r="Z17" s="26">
        <f>X17+Y17</f>
        <v>1000000</v>
      </c>
    </row>
    <row r="18" spans="1:26" s="17" customFormat="1" x14ac:dyDescent="0.25">
      <c r="A18" s="18" t="s">
        <v>46</v>
      </c>
      <c r="B18" s="19" t="s">
        <v>47</v>
      </c>
      <c r="C18" s="29">
        <v>1000000</v>
      </c>
      <c r="D18" s="31">
        <f t="shared" si="15"/>
        <v>2000000</v>
      </c>
      <c r="E18" s="30">
        <v>825000</v>
      </c>
      <c r="F18" s="31">
        <f t="shared" si="6"/>
        <v>2825000</v>
      </c>
      <c r="G18" s="23">
        <f t="shared" si="0"/>
        <v>1.3999008919722498E-2</v>
      </c>
      <c r="H18" s="24">
        <f t="shared" si="7"/>
        <v>2437102</v>
      </c>
      <c r="I18" s="24">
        <f t="shared" si="7"/>
        <v>4874204</v>
      </c>
      <c r="J18" s="24"/>
      <c r="K18" s="24"/>
      <c r="L18" s="24">
        <f t="shared" si="8"/>
        <v>500796</v>
      </c>
      <c r="M18" s="24">
        <f t="shared" si="9"/>
        <v>5375000</v>
      </c>
      <c r="N18" s="32">
        <v>3437102</v>
      </c>
      <c r="O18" s="46">
        <f t="shared" si="21"/>
        <v>6874204</v>
      </c>
      <c r="P18" s="28">
        <v>1325796</v>
      </c>
      <c r="Q18" s="26">
        <f t="shared" si="30"/>
        <v>8200000</v>
      </c>
      <c r="R18" s="27">
        <f t="shared" si="2"/>
        <v>3.3017303913986766E-2</v>
      </c>
      <c r="S18" s="32">
        <f t="shared" ref="S18:S21" si="33">N18+W18</f>
        <v>3187102</v>
      </c>
      <c r="T18" s="46">
        <f t="shared" si="31"/>
        <v>6374204</v>
      </c>
      <c r="U18" s="28">
        <f>+P18+Y18</f>
        <v>1030417</v>
      </c>
      <c r="V18" s="26">
        <f>T18+U18</f>
        <v>7404621</v>
      </c>
      <c r="W18" s="32">
        <f>-600000+350000</f>
        <v>-250000</v>
      </c>
      <c r="X18" s="46">
        <f>W18/0.5</f>
        <v>-500000</v>
      </c>
      <c r="Y18" s="28">
        <f>-145379-150000</f>
        <v>-295379</v>
      </c>
      <c r="Z18" s="26">
        <f>X18+Y18</f>
        <v>-795379</v>
      </c>
    </row>
    <row r="19" spans="1:26" s="17" customFormat="1" x14ac:dyDescent="0.25">
      <c r="A19" s="18" t="s">
        <v>48</v>
      </c>
      <c r="B19" s="19" t="s">
        <v>49</v>
      </c>
      <c r="C19" s="29">
        <v>2750000</v>
      </c>
      <c r="D19" s="31">
        <f t="shared" si="15"/>
        <v>5500000</v>
      </c>
      <c r="E19" s="30">
        <v>2500000</v>
      </c>
      <c r="F19" s="31">
        <f t="shared" si="6"/>
        <v>8000000</v>
      </c>
      <c r="G19" s="23">
        <f t="shared" si="0"/>
        <v>3.9643211100099107E-2</v>
      </c>
      <c r="H19" s="24">
        <f t="shared" si="7"/>
        <v>1233152</v>
      </c>
      <c r="I19" s="24">
        <f t="shared" si="7"/>
        <v>2466304</v>
      </c>
      <c r="J19" s="24"/>
      <c r="K19" s="24"/>
      <c r="L19" s="24">
        <f t="shared" si="8"/>
        <v>-1166304</v>
      </c>
      <c r="M19" s="24">
        <f t="shared" si="9"/>
        <v>1300000</v>
      </c>
      <c r="N19" s="32">
        <v>3983152</v>
      </c>
      <c r="O19" s="46">
        <f t="shared" si="21"/>
        <v>7966304</v>
      </c>
      <c r="P19" s="28">
        <v>1333696</v>
      </c>
      <c r="Q19" s="26">
        <f t="shared" si="30"/>
        <v>9300000</v>
      </c>
      <c r="R19" s="27">
        <f t="shared" si="2"/>
        <v>3.7446454439033772E-2</v>
      </c>
      <c r="S19" s="32">
        <f t="shared" si="33"/>
        <v>4433152</v>
      </c>
      <c r="T19" s="46">
        <f t="shared" si="31"/>
        <v>8866304</v>
      </c>
      <c r="U19" s="28">
        <f t="shared" ref="U19:U21" si="34">+P19+Y19</f>
        <v>1333696</v>
      </c>
      <c r="V19" s="26">
        <f t="shared" si="32"/>
        <v>10200000</v>
      </c>
      <c r="W19" s="32">
        <v>450000</v>
      </c>
      <c r="X19" s="46">
        <f>W19/0.5</f>
        <v>900000</v>
      </c>
      <c r="Y19" s="28">
        <v>0</v>
      </c>
      <c r="Z19" s="26">
        <f>X19+Y19</f>
        <v>900000</v>
      </c>
    </row>
    <row r="20" spans="1:26" s="17" customFormat="1" x14ac:dyDescent="0.25">
      <c r="A20" s="18" t="s">
        <v>50</v>
      </c>
      <c r="B20" s="19" t="s">
        <v>51</v>
      </c>
      <c r="C20" s="29">
        <v>1900000</v>
      </c>
      <c r="D20" s="31">
        <f t="shared" si="15"/>
        <v>3800000</v>
      </c>
      <c r="E20" s="30">
        <v>1650000</v>
      </c>
      <c r="F20" s="31">
        <f t="shared" si="6"/>
        <v>5450000</v>
      </c>
      <c r="G20" s="23">
        <f t="shared" si="0"/>
        <v>2.7006937561942519E-2</v>
      </c>
      <c r="H20" s="24">
        <f t="shared" si="7"/>
        <v>910000</v>
      </c>
      <c r="I20" s="24">
        <f t="shared" si="7"/>
        <v>1820000</v>
      </c>
      <c r="J20" s="24"/>
      <c r="K20" s="24"/>
      <c r="L20" s="24">
        <f t="shared" si="8"/>
        <v>-1120000</v>
      </c>
      <c r="M20" s="24">
        <f t="shared" si="9"/>
        <v>700000</v>
      </c>
      <c r="N20" s="32">
        <v>2810000</v>
      </c>
      <c r="O20" s="46">
        <f t="shared" si="21"/>
        <v>5620000</v>
      </c>
      <c r="P20" s="28">
        <v>530000</v>
      </c>
      <c r="Q20" s="26">
        <f>O20+P20</f>
        <v>6150000</v>
      </c>
      <c r="R20" s="27">
        <f t="shared" si="2"/>
        <v>2.4762977935490076E-2</v>
      </c>
      <c r="S20" s="32">
        <f t="shared" si="33"/>
        <v>2560000</v>
      </c>
      <c r="T20" s="46">
        <f t="shared" si="31"/>
        <v>5120000</v>
      </c>
      <c r="U20" s="28">
        <f t="shared" si="34"/>
        <v>530000</v>
      </c>
      <c r="V20" s="26">
        <f>T20+U20</f>
        <v>5650000</v>
      </c>
      <c r="W20" s="32">
        <v>-250000</v>
      </c>
      <c r="X20" s="46">
        <f>W20/0.5</f>
        <v>-500000</v>
      </c>
      <c r="Y20" s="28">
        <v>0</v>
      </c>
      <c r="Z20" s="26">
        <f>X20+Y20</f>
        <v>-500000</v>
      </c>
    </row>
    <row r="21" spans="1:26" s="17" customFormat="1" ht="25.5" x14ac:dyDescent="0.25">
      <c r="A21" s="18" t="s">
        <v>52</v>
      </c>
      <c r="B21" s="19" t="s">
        <v>53</v>
      </c>
      <c r="C21" s="29">
        <v>750000</v>
      </c>
      <c r="D21" s="31">
        <f t="shared" si="15"/>
        <v>1500000</v>
      </c>
      <c r="E21" s="30">
        <v>500000</v>
      </c>
      <c r="F21" s="31">
        <f t="shared" si="6"/>
        <v>2000000</v>
      </c>
      <c r="G21" s="23">
        <f t="shared" si="0"/>
        <v>9.9108027750247768E-3</v>
      </c>
      <c r="H21" s="24">
        <f t="shared" si="7"/>
        <v>-350000</v>
      </c>
      <c r="I21" s="24">
        <f t="shared" si="7"/>
        <v>-700000</v>
      </c>
      <c r="J21" s="24"/>
      <c r="K21" s="24"/>
      <c r="L21" s="24">
        <f t="shared" si="8"/>
        <v>-300000</v>
      </c>
      <c r="M21" s="24">
        <f t="shared" si="9"/>
        <v>-1000000</v>
      </c>
      <c r="N21" s="32">
        <v>400000</v>
      </c>
      <c r="O21" s="46">
        <f t="shared" si="21"/>
        <v>800000</v>
      </c>
      <c r="P21" s="28">
        <v>200000</v>
      </c>
      <c r="Q21" s="26">
        <f>+P21+O21</f>
        <v>1000000</v>
      </c>
      <c r="R21" s="27">
        <f t="shared" si="2"/>
        <v>4.0265004773154594E-3</v>
      </c>
      <c r="S21" s="32">
        <f t="shared" si="33"/>
        <v>400000</v>
      </c>
      <c r="T21" s="46">
        <f t="shared" si="31"/>
        <v>800000</v>
      </c>
      <c r="U21" s="28">
        <f t="shared" si="34"/>
        <v>200000</v>
      </c>
      <c r="V21" s="26">
        <f>+U21+T21</f>
        <v>1000000</v>
      </c>
      <c r="W21" s="32"/>
      <c r="X21" s="46"/>
      <c r="Y21" s="28"/>
      <c r="Z21" s="26"/>
    </row>
    <row r="22" spans="1:26" s="17" customFormat="1" x14ac:dyDescent="0.25">
      <c r="A22" s="9">
        <v>6</v>
      </c>
      <c r="B22" s="10" t="s">
        <v>54</v>
      </c>
      <c r="C22" s="11">
        <v>6500000</v>
      </c>
      <c r="D22" s="12">
        <f t="shared" si="15"/>
        <v>13000000</v>
      </c>
      <c r="E22" s="12">
        <v>5500000</v>
      </c>
      <c r="F22" s="12">
        <f t="shared" si="6"/>
        <v>18500000</v>
      </c>
      <c r="G22" s="13">
        <f t="shared" si="0"/>
        <v>9.1674925668979182E-2</v>
      </c>
      <c r="H22" s="35">
        <f t="shared" si="7"/>
        <v>1909000</v>
      </c>
      <c r="I22" s="35">
        <f t="shared" si="7"/>
        <v>3818000</v>
      </c>
      <c r="J22" s="35"/>
      <c r="K22" s="35"/>
      <c r="L22" s="35">
        <f t="shared" si="8"/>
        <v>-2968000</v>
      </c>
      <c r="M22" s="35">
        <f t="shared" si="9"/>
        <v>850000</v>
      </c>
      <c r="N22" s="39">
        <f>8309000+100000</f>
        <v>8409000</v>
      </c>
      <c r="O22" s="37">
        <f>N22/0.5</f>
        <v>16818000</v>
      </c>
      <c r="P22" s="37">
        <v>2532000</v>
      </c>
      <c r="Q22" s="15">
        <f>+P22+O22</f>
        <v>19350000</v>
      </c>
      <c r="R22" s="16">
        <f t="shared" si="2"/>
        <v>7.7912784236054133E-2</v>
      </c>
      <c r="S22" s="39">
        <f>+N22+W22</f>
        <v>8609000</v>
      </c>
      <c r="T22" s="37">
        <f>S22/0.5</f>
        <v>17218000</v>
      </c>
      <c r="U22" s="37">
        <f>+P22+Y22</f>
        <v>2532000</v>
      </c>
      <c r="V22" s="15">
        <f>+U22+T22</f>
        <v>19750000</v>
      </c>
      <c r="W22" s="39">
        <v>200000</v>
      </c>
      <c r="X22" s="37">
        <f>W22/0.5</f>
        <v>400000</v>
      </c>
      <c r="Y22" s="37">
        <v>0</v>
      </c>
      <c r="Z22" s="15">
        <f>+Y22+X22</f>
        <v>400000</v>
      </c>
    </row>
    <row r="23" spans="1:26" s="17" customFormat="1" x14ac:dyDescent="0.25">
      <c r="A23" s="9">
        <v>7</v>
      </c>
      <c r="B23" s="10" t="s">
        <v>55</v>
      </c>
      <c r="C23" s="11">
        <f>+C24+C25+C26</f>
        <v>3000000</v>
      </c>
      <c r="D23" s="12">
        <f t="shared" si="15"/>
        <v>6000000</v>
      </c>
      <c r="E23" s="12">
        <f>+E24+E25+E26</f>
        <v>2500000</v>
      </c>
      <c r="F23" s="12">
        <f t="shared" si="6"/>
        <v>8500000</v>
      </c>
      <c r="G23" s="13">
        <f t="shared" si="0"/>
        <v>4.2120911793855305E-2</v>
      </c>
      <c r="H23" s="35">
        <f t="shared" si="7"/>
        <v>156251</v>
      </c>
      <c r="I23" s="35">
        <f t="shared" si="7"/>
        <v>312502</v>
      </c>
      <c r="J23" s="35"/>
      <c r="K23" s="35"/>
      <c r="L23" s="35">
        <f t="shared" si="8"/>
        <v>1587498</v>
      </c>
      <c r="M23" s="35">
        <f t="shared" si="9"/>
        <v>1900000</v>
      </c>
      <c r="N23" s="39">
        <f>+N24+N25+N26</f>
        <v>3156251</v>
      </c>
      <c r="O23" s="39">
        <f t="shared" ref="O23:P23" si="35">+O24+O25+O26</f>
        <v>6312502</v>
      </c>
      <c r="P23" s="39">
        <f t="shared" si="35"/>
        <v>4087498</v>
      </c>
      <c r="Q23" s="39">
        <f>O23+P23</f>
        <v>10400000</v>
      </c>
      <c r="R23" s="16">
        <f t="shared" si="2"/>
        <v>4.1875604964080777E-2</v>
      </c>
      <c r="S23" s="39">
        <f>+S24+S25+S26</f>
        <v>3156251</v>
      </c>
      <c r="T23" s="39">
        <f t="shared" ref="T23:U23" si="36">+T24+T25+T26</f>
        <v>6312502</v>
      </c>
      <c r="U23" s="39">
        <f t="shared" si="36"/>
        <v>4087498</v>
      </c>
      <c r="V23" s="39">
        <f>T23+U23</f>
        <v>10400000</v>
      </c>
      <c r="W23" s="39">
        <f>+W24+W25+W26</f>
        <v>0</v>
      </c>
      <c r="X23" s="39">
        <f t="shared" ref="X23:Z23" si="37">+X24+X25+X26</f>
        <v>0</v>
      </c>
      <c r="Y23" s="39">
        <f t="shared" si="37"/>
        <v>0</v>
      </c>
      <c r="Z23" s="39">
        <f t="shared" si="37"/>
        <v>0</v>
      </c>
    </row>
    <row r="24" spans="1:26" s="17" customFormat="1" ht="25.5" x14ac:dyDescent="0.25">
      <c r="A24" s="18" t="s">
        <v>56</v>
      </c>
      <c r="B24" s="19" t="s">
        <v>57</v>
      </c>
      <c r="C24" s="29">
        <v>150000</v>
      </c>
      <c r="D24" s="31">
        <f t="shared" si="15"/>
        <v>300000</v>
      </c>
      <c r="E24" s="30">
        <v>125000</v>
      </c>
      <c r="F24" s="31">
        <f t="shared" si="6"/>
        <v>425000</v>
      </c>
      <c r="G24" s="23">
        <f t="shared" si="0"/>
        <v>2.1060455896927651E-3</v>
      </c>
      <c r="H24" s="24">
        <f t="shared" si="7"/>
        <v>18985</v>
      </c>
      <c r="I24" s="24">
        <f t="shared" si="7"/>
        <v>37970</v>
      </c>
      <c r="J24" s="24"/>
      <c r="K24" s="24"/>
      <c r="L24" s="24">
        <f t="shared" si="8"/>
        <v>762030</v>
      </c>
      <c r="M24" s="24">
        <f t="shared" si="9"/>
        <v>800000</v>
      </c>
      <c r="N24" s="32">
        <v>168985</v>
      </c>
      <c r="O24" s="33">
        <f>N24/0.5</f>
        <v>337970</v>
      </c>
      <c r="P24" s="28">
        <v>887030</v>
      </c>
      <c r="Q24" s="26">
        <f>+P24+O24</f>
        <v>1225000</v>
      </c>
      <c r="R24" s="27">
        <f t="shared" si="2"/>
        <v>4.9324630847114373E-3</v>
      </c>
      <c r="S24" s="32">
        <f>+N24+W24</f>
        <v>168985</v>
      </c>
      <c r="T24" s="33">
        <f>S24/0.5</f>
        <v>337970</v>
      </c>
      <c r="U24" s="28">
        <f>+P24+Y24</f>
        <v>887030</v>
      </c>
      <c r="V24" s="26">
        <f>+U24+T24</f>
        <v>1225000</v>
      </c>
      <c r="W24" s="32">
        <v>0</v>
      </c>
      <c r="X24" s="33">
        <f>W24/0.5</f>
        <v>0</v>
      </c>
      <c r="Y24" s="28">
        <v>0</v>
      </c>
      <c r="Z24" s="26">
        <f>+Y24+X24</f>
        <v>0</v>
      </c>
    </row>
    <row r="25" spans="1:26" s="17" customFormat="1" ht="63.75" customHeight="1" x14ac:dyDescent="0.25">
      <c r="A25" s="18" t="s">
        <v>58</v>
      </c>
      <c r="B25" s="19" t="s">
        <v>59</v>
      </c>
      <c r="C25" s="29">
        <v>1600000</v>
      </c>
      <c r="D25" s="31">
        <f t="shared" si="15"/>
        <v>3200000</v>
      </c>
      <c r="E25" s="30">
        <v>1400000</v>
      </c>
      <c r="F25" s="31">
        <f t="shared" si="6"/>
        <v>4600000</v>
      </c>
      <c r="G25" s="23">
        <f t="shared" si="0"/>
        <v>2.2794846382556987E-2</v>
      </c>
      <c r="H25" s="24">
        <f t="shared" si="7"/>
        <v>-352792</v>
      </c>
      <c r="I25" s="24">
        <f t="shared" si="7"/>
        <v>-705584</v>
      </c>
      <c r="J25" s="24"/>
      <c r="K25" s="24"/>
      <c r="L25" s="24">
        <f t="shared" si="8"/>
        <v>-194416</v>
      </c>
      <c r="M25" s="24">
        <f t="shared" si="9"/>
        <v>-900000</v>
      </c>
      <c r="N25" s="32">
        <v>1247208</v>
      </c>
      <c r="O25" s="33">
        <f t="shared" ref="O25:O26" si="38">N25/0.5</f>
        <v>2494416</v>
      </c>
      <c r="P25" s="28">
        <v>1205584</v>
      </c>
      <c r="Q25" s="26">
        <f t="shared" ref="Q25:Q26" si="39">+P25+O25</f>
        <v>3700000</v>
      </c>
      <c r="R25" s="27">
        <f t="shared" si="2"/>
        <v>1.48980517660672E-2</v>
      </c>
      <c r="S25" s="32">
        <f t="shared" ref="S25:S26" si="40">+N25+W25</f>
        <v>1247208</v>
      </c>
      <c r="T25" s="33">
        <f t="shared" ref="T25:T26" si="41">S25/0.5</f>
        <v>2494416</v>
      </c>
      <c r="U25" s="28">
        <f t="shared" ref="U25:U26" si="42">+P25+Y25</f>
        <v>1205584</v>
      </c>
      <c r="V25" s="26">
        <f t="shared" ref="V25:V26" si="43">+U25+T25</f>
        <v>3700000</v>
      </c>
      <c r="W25" s="32">
        <v>0</v>
      </c>
      <c r="X25" s="33">
        <f t="shared" ref="X25:X26" si="44">W25/0.5</f>
        <v>0</v>
      </c>
      <c r="Y25" s="28">
        <v>0</v>
      </c>
      <c r="Z25" s="26">
        <f t="shared" ref="Z25:Z26" si="45">+Y25+X25</f>
        <v>0</v>
      </c>
    </row>
    <row r="26" spans="1:26" s="17" customFormat="1" ht="25.5" customHeight="1" x14ac:dyDescent="0.25">
      <c r="A26" s="18" t="s">
        <v>60</v>
      </c>
      <c r="B26" s="19" t="s">
        <v>61</v>
      </c>
      <c r="C26" s="29">
        <v>1250000</v>
      </c>
      <c r="D26" s="31">
        <f t="shared" si="15"/>
        <v>2500000</v>
      </c>
      <c r="E26" s="30">
        <v>975000</v>
      </c>
      <c r="F26" s="31">
        <f t="shared" si="6"/>
        <v>3475000</v>
      </c>
      <c r="G26" s="23">
        <f t="shared" si="0"/>
        <v>1.7220019821605551E-2</v>
      </c>
      <c r="H26" s="24">
        <f t="shared" si="7"/>
        <v>490058</v>
      </c>
      <c r="I26" s="24">
        <f t="shared" si="7"/>
        <v>980116</v>
      </c>
      <c r="J26" s="24"/>
      <c r="K26" s="24"/>
      <c r="L26" s="24">
        <f t="shared" si="8"/>
        <v>1019884</v>
      </c>
      <c r="M26" s="24">
        <f t="shared" si="9"/>
        <v>2000000</v>
      </c>
      <c r="N26" s="32">
        <v>1740058</v>
      </c>
      <c r="O26" s="33">
        <f t="shared" si="38"/>
        <v>3480116</v>
      </c>
      <c r="P26" s="28">
        <v>1994884</v>
      </c>
      <c r="Q26" s="26">
        <f t="shared" si="39"/>
        <v>5475000</v>
      </c>
      <c r="R26" s="27">
        <f t="shared" si="2"/>
        <v>2.2045090113302138E-2</v>
      </c>
      <c r="S26" s="32">
        <f t="shared" si="40"/>
        <v>1740058</v>
      </c>
      <c r="T26" s="33">
        <f t="shared" si="41"/>
        <v>3480116</v>
      </c>
      <c r="U26" s="28">
        <f t="shared" si="42"/>
        <v>1994884</v>
      </c>
      <c r="V26" s="26">
        <f t="shared" si="43"/>
        <v>5475000</v>
      </c>
      <c r="W26" s="32">
        <v>0</v>
      </c>
      <c r="X26" s="33">
        <f t="shared" si="44"/>
        <v>0</v>
      </c>
      <c r="Y26" s="28">
        <v>0</v>
      </c>
      <c r="Z26" s="26">
        <f t="shared" si="45"/>
        <v>0</v>
      </c>
    </row>
    <row r="27" spans="1:26" s="17" customFormat="1" ht="25.5" x14ac:dyDescent="0.25">
      <c r="A27" s="9">
        <v>8</v>
      </c>
      <c r="B27" s="10" t="s">
        <v>62</v>
      </c>
      <c r="C27" s="11">
        <f>+C28+C29+C30</f>
        <v>13300000</v>
      </c>
      <c r="D27" s="12">
        <f t="shared" si="15"/>
        <v>26600000</v>
      </c>
      <c r="E27" s="12">
        <f>+E28+E29+E30</f>
        <v>12300000</v>
      </c>
      <c r="F27" s="12">
        <f t="shared" si="6"/>
        <v>38900000</v>
      </c>
      <c r="G27" s="13">
        <f t="shared" si="0"/>
        <v>0.19276511397423191</v>
      </c>
      <c r="H27" s="35">
        <f t="shared" si="7"/>
        <v>5018892</v>
      </c>
      <c r="I27" s="35">
        <f t="shared" si="7"/>
        <v>10037784</v>
      </c>
      <c r="J27" s="35"/>
      <c r="K27" s="35"/>
      <c r="L27" s="35">
        <f t="shared" si="8"/>
        <v>-6490680</v>
      </c>
      <c r="M27" s="35">
        <f t="shared" si="9"/>
        <v>3547104</v>
      </c>
      <c r="N27" s="39">
        <f>+N28+N29+N30</f>
        <v>18318892</v>
      </c>
      <c r="O27" s="39">
        <f>+O28+O29+O30</f>
        <v>36637784</v>
      </c>
      <c r="P27" s="39">
        <f t="shared" ref="P27:Q27" si="46">+P28+P29+P30</f>
        <v>5809320</v>
      </c>
      <c r="Q27" s="39">
        <f t="shared" si="46"/>
        <v>42447104</v>
      </c>
      <c r="R27" s="16">
        <f t="shared" si="2"/>
        <v>0.17091328451665894</v>
      </c>
      <c r="S27" s="39">
        <f>+S28+S29+S30</f>
        <v>18318892</v>
      </c>
      <c r="T27" s="39">
        <f>+T28+T29+T30</f>
        <v>36637784</v>
      </c>
      <c r="U27" s="39">
        <f t="shared" ref="U27:Z27" si="47">+U28+U29+U30</f>
        <v>5809320</v>
      </c>
      <c r="V27" s="39">
        <f t="shared" si="47"/>
        <v>42447104</v>
      </c>
      <c r="W27" s="39">
        <f t="shared" si="47"/>
        <v>0</v>
      </c>
      <c r="X27" s="39">
        <f t="shared" si="47"/>
        <v>0</v>
      </c>
      <c r="Y27" s="39">
        <f t="shared" si="47"/>
        <v>0</v>
      </c>
      <c r="Z27" s="39">
        <f t="shared" si="47"/>
        <v>0</v>
      </c>
    </row>
    <row r="28" spans="1:26" s="17" customFormat="1" x14ac:dyDescent="0.25">
      <c r="A28" s="18" t="s">
        <v>63</v>
      </c>
      <c r="B28" s="19" t="s">
        <v>64</v>
      </c>
      <c r="C28" s="29">
        <v>2000000</v>
      </c>
      <c r="D28" s="31">
        <f t="shared" si="15"/>
        <v>4000000</v>
      </c>
      <c r="E28" s="30">
        <v>2000000</v>
      </c>
      <c r="F28" s="31">
        <f t="shared" si="6"/>
        <v>6000000</v>
      </c>
      <c r="G28" s="23">
        <f t="shared" si="0"/>
        <v>2.973240832507433E-2</v>
      </c>
      <c r="H28" s="24">
        <f t="shared" si="7"/>
        <v>-180075</v>
      </c>
      <c r="I28" s="24">
        <f t="shared" si="7"/>
        <v>-360150</v>
      </c>
      <c r="J28" s="24"/>
      <c r="K28" s="24"/>
      <c r="L28" s="24">
        <f t="shared" si="8"/>
        <v>-1139850</v>
      </c>
      <c r="M28" s="24">
        <f t="shared" si="9"/>
        <v>-1500000</v>
      </c>
      <c r="N28" s="32">
        <v>1819925</v>
      </c>
      <c r="O28" s="33">
        <f>+N28/0.5</f>
        <v>3639850</v>
      </c>
      <c r="P28" s="28">
        <v>860150</v>
      </c>
      <c r="Q28" s="26">
        <f>+P28+O28</f>
        <v>4500000</v>
      </c>
      <c r="R28" s="27">
        <f t="shared" si="2"/>
        <v>1.8119252147919568E-2</v>
      </c>
      <c r="S28" s="32">
        <f>+N28+W28</f>
        <v>1819925</v>
      </c>
      <c r="T28" s="33">
        <f>+S28/0.5</f>
        <v>3639850</v>
      </c>
      <c r="U28" s="28">
        <f>+P28+Y28</f>
        <v>860150</v>
      </c>
      <c r="V28" s="26">
        <f>+U28+T28</f>
        <v>4500000</v>
      </c>
      <c r="W28" s="32">
        <v>0</v>
      </c>
      <c r="X28" s="33">
        <f>W28/0.5</f>
        <v>0</v>
      </c>
      <c r="Y28" s="28">
        <v>0</v>
      </c>
      <c r="Z28" s="26">
        <f>+Y28+X28</f>
        <v>0</v>
      </c>
    </row>
    <row r="29" spans="1:26" s="17" customFormat="1" ht="25.5" x14ac:dyDescent="0.25">
      <c r="A29" s="18" t="s">
        <v>65</v>
      </c>
      <c r="B29" s="19" t="s">
        <v>66</v>
      </c>
      <c r="C29" s="29">
        <v>7300000</v>
      </c>
      <c r="D29" s="31">
        <f t="shared" si="15"/>
        <v>14600000</v>
      </c>
      <c r="E29" s="30">
        <v>6800000</v>
      </c>
      <c r="F29" s="31">
        <f t="shared" si="6"/>
        <v>21400000</v>
      </c>
      <c r="G29" s="23">
        <f t="shared" si="0"/>
        <v>0.10604558969276512</v>
      </c>
      <c r="H29" s="24">
        <f t="shared" si="7"/>
        <v>4326927</v>
      </c>
      <c r="I29" s="24">
        <f t="shared" si="7"/>
        <v>8653854</v>
      </c>
      <c r="J29" s="24"/>
      <c r="K29" s="24"/>
      <c r="L29" s="24">
        <f t="shared" si="8"/>
        <v>-2106750</v>
      </c>
      <c r="M29" s="24">
        <f t="shared" si="9"/>
        <v>6547104</v>
      </c>
      <c r="N29" s="32">
        <f>11226927+400000</f>
        <v>11626927</v>
      </c>
      <c r="O29" s="33">
        <f t="shared" ref="O29:O30" si="48">+N29/0.5</f>
        <v>23253854</v>
      </c>
      <c r="P29" s="28">
        <f>5493250-800000</f>
        <v>4693250</v>
      </c>
      <c r="Q29" s="26">
        <f t="shared" ref="Q29:Q30" si="49">+P29+O29</f>
        <v>27947104</v>
      </c>
      <c r="R29" s="27">
        <f t="shared" si="2"/>
        <v>0.11252902759558478</v>
      </c>
      <c r="S29" s="32">
        <f t="shared" ref="S29:S30" si="50">+N29+W29</f>
        <v>11626927</v>
      </c>
      <c r="T29" s="33">
        <f t="shared" ref="T29:T30" si="51">+S29/0.5</f>
        <v>23253854</v>
      </c>
      <c r="U29" s="28">
        <f t="shared" ref="U29:U31" si="52">+P29+Y29</f>
        <v>4693250</v>
      </c>
      <c r="V29" s="26">
        <f t="shared" ref="V29:V30" si="53">+U29+T29</f>
        <v>27947104</v>
      </c>
      <c r="W29" s="32">
        <v>0</v>
      </c>
      <c r="X29" s="33">
        <f t="shared" ref="X29:X30" si="54">W29/0.5</f>
        <v>0</v>
      </c>
      <c r="Y29" s="28">
        <v>0</v>
      </c>
      <c r="Z29" s="26">
        <f t="shared" ref="Z29:Z30" si="55">+Y29+X29</f>
        <v>0</v>
      </c>
    </row>
    <row r="30" spans="1:26" s="17" customFormat="1" ht="25.5" x14ac:dyDescent="0.25">
      <c r="A30" s="18" t="s">
        <v>67</v>
      </c>
      <c r="B30" s="19" t="s">
        <v>68</v>
      </c>
      <c r="C30" s="29">
        <v>4000000</v>
      </c>
      <c r="D30" s="31">
        <f t="shared" si="15"/>
        <v>8000000</v>
      </c>
      <c r="E30" s="30">
        <v>3500000</v>
      </c>
      <c r="F30" s="31">
        <f t="shared" si="6"/>
        <v>11500000</v>
      </c>
      <c r="G30" s="23">
        <f t="shared" si="0"/>
        <v>5.698711595639247E-2</v>
      </c>
      <c r="H30" s="24">
        <f t="shared" si="7"/>
        <v>872040</v>
      </c>
      <c r="I30" s="24">
        <f t="shared" si="7"/>
        <v>1744080</v>
      </c>
      <c r="J30" s="24"/>
      <c r="K30" s="24"/>
      <c r="L30" s="24">
        <f t="shared" si="8"/>
        <v>-3244080</v>
      </c>
      <c r="M30" s="24">
        <f t="shared" si="9"/>
        <v>-1500000</v>
      </c>
      <c r="N30" s="32">
        <v>4872040</v>
      </c>
      <c r="O30" s="33">
        <f t="shared" si="48"/>
        <v>9744080</v>
      </c>
      <c r="P30" s="28">
        <v>255920</v>
      </c>
      <c r="Q30" s="26">
        <f t="shared" si="49"/>
        <v>10000000</v>
      </c>
      <c r="R30" s="27">
        <f t="shared" si="2"/>
        <v>4.0265004773154596E-2</v>
      </c>
      <c r="S30" s="32">
        <f t="shared" si="50"/>
        <v>4872040</v>
      </c>
      <c r="T30" s="33">
        <f t="shared" si="51"/>
        <v>9744080</v>
      </c>
      <c r="U30" s="28">
        <f t="shared" si="52"/>
        <v>255920</v>
      </c>
      <c r="V30" s="26">
        <f t="shared" si="53"/>
        <v>10000000</v>
      </c>
      <c r="W30" s="32">
        <v>0</v>
      </c>
      <c r="X30" s="33">
        <f t="shared" si="54"/>
        <v>0</v>
      </c>
      <c r="Y30" s="28">
        <v>0</v>
      </c>
      <c r="Z30" s="26">
        <f t="shared" si="55"/>
        <v>0</v>
      </c>
    </row>
    <row r="31" spans="1:26" s="17" customFormat="1" ht="25.5" x14ac:dyDescent="0.25">
      <c r="A31" s="18" t="s">
        <v>69</v>
      </c>
      <c r="B31" s="19" t="s">
        <v>70</v>
      </c>
      <c r="C31" s="47"/>
      <c r="D31" s="31">
        <f t="shared" si="15"/>
        <v>0</v>
      </c>
      <c r="E31" s="31"/>
      <c r="F31" s="31">
        <f t="shared" si="6"/>
        <v>0</v>
      </c>
      <c r="G31" s="23">
        <f t="shared" si="0"/>
        <v>0</v>
      </c>
      <c r="H31" s="24">
        <f t="shared" si="7"/>
        <v>0</v>
      </c>
      <c r="I31" s="24">
        <f t="shared" si="7"/>
        <v>0</v>
      </c>
      <c r="J31" s="24"/>
      <c r="K31" s="24"/>
      <c r="L31" s="24">
        <f t="shared" si="8"/>
        <v>0</v>
      </c>
      <c r="M31" s="24">
        <f t="shared" si="9"/>
        <v>0</v>
      </c>
      <c r="N31" s="25">
        <v>0</v>
      </c>
      <c r="O31" s="33"/>
      <c r="P31" s="33"/>
      <c r="Q31" s="26">
        <v>0</v>
      </c>
      <c r="R31" s="27">
        <f t="shared" si="2"/>
        <v>0</v>
      </c>
      <c r="S31" s="25">
        <v>0</v>
      </c>
      <c r="T31" s="33">
        <v>0</v>
      </c>
      <c r="U31" s="28">
        <f t="shared" si="52"/>
        <v>0</v>
      </c>
      <c r="V31" s="26">
        <v>0</v>
      </c>
      <c r="W31" s="25"/>
      <c r="X31" s="33"/>
      <c r="Y31" s="33"/>
      <c r="Z31" s="26"/>
    </row>
    <row r="32" spans="1:26" s="17" customFormat="1" x14ac:dyDescent="0.25">
      <c r="A32" s="9">
        <v>10</v>
      </c>
      <c r="B32" s="10" t="s">
        <v>71</v>
      </c>
      <c r="C32" s="11">
        <v>7500000</v>
      </c>
      <c r="D32" s="12">
        <f t="shared" si="15"/>
        <v>15000000</v>
      </c>
      <c r="E32" s="12">
        <v>6500000</v>
      </c>
      <c r="F32" s="12">
        <f t="shared" si="6"/>
        <v>21500000</v>
      </c>
      <c r="G32" s="13">
        <f t="shared" si="0"/>
        <v>0.10654112983151635</v>
      </c>
      <c r="H32" s="35">
        <f t="shared" si="7"/>
        <v>1709720</v>
      </c>
      <c r="I32" s="35">
        <f t="shared" si="7"/>
        <v>3419440</v>
      </c>
      <c r="J32" s="35">
        <v>2600000</v>
      </c>
      <c r="K32" s="35">
        <f>J32</f>
        <v>2600000</v>
      </c>
      <c r="L32" s="35">
        <f t="shared" si="8"/>
        <v>-1619440</v>
      </c>
      <c r="M32" s="35">
        <f t="shared" si="9"/>
        <v>4400000</v>
      </c>
      <c r="N32" s="36">
        <f>9809720-600000</f>
        <v>9209720</v>
      </c>
      <c r="O32" s="37">
        <f>N32/0.5</f>
        <v>18419440</v>
      </c>
      <c r="P32" s="38">
        <f>3680560+1200000</f>
        <v>4880560</v>
      </c>
      <c r="Q32" s="15">
        <f>+P32+O32+K32</f>
        <v>25900000</v>
      </c>
      <c r="R32" s="16">
        <f t="shared" si="2"/>
        <v>0.10428636236247039</v>
      </c>
      <c r="S32" s="36">
        <f>+N32+W32</f>
        <v>8709720</v>
      </c>
      <c r="T32" s="37">
        <f>S32/0.5</f>
        <v>17419440</v>
      </c>
      <c r="U32" s="38">
        <f>+P32+Y32</f>
        <v>4880560</v>
      </c>
      <c r="V32" s="15">
        <f>+U32+T32+K32</f>
        <v>24900000</v>
      </c>
      <c r="W32" s="36">
        <v>-500000</v>
      </c>
      <c r="X32" s="37">
        <f>W32/0.5</f>
        <v>-1000000</v>
      </c>
      <c r="Y32" s="38">
        <v>0</v>
      </c>
      <c r="Z32" s="15">
        <f>+Y32+X32</f>
        <v>-1000000</v>
      </c>
    </row>
    <row r="33" spans="1:27" s="17" customFormat="1" x14ac:dyDescent="0.25">
      <c r="A33" s="9">
        <v>11</v>
      </c>
      <c r="B33" s="10" t="s">
        <v>72</v>
      </c>
      <c r="C33" s="11">
        <f>+C34+C35</f>
        <v>1200000</v>
      </c>
      <c r="D33" s="12">
        <f t="shared" si="15"/>
        <v>2400000</v>
      </c>
      <c r="E33" s="12">
        <f>+E34+E35</f>
        <v>1050000</v>
      </c>
      <c r="F33" s="12">
        <f t="shared" si="6"/>
        <v>3450000</v>
      </c>
      <c r="G33" s="13">
        <f t="shared" si="0"/>
        <v>1.7096134786917742E-2</v>
      </c>
      <c r="H33" s="35">
        <f t="shared" si="7"/>
        <v>685069</v>
      </c>
      <c r="I33" s="35">
        <f t="shared" si="7"/>
        <v>1370138</v>
      </c>
      <c r="J33" s="35"/>
      <c r="K33" s="35"/>
      <c r="L33" s="35">
        <f t="shared" si="8"/>
        <v>-170138</v>
      </c>
      <c r="M33" s="35">
        <f t="shared" si="9"/>
        <v>1200000</v>
      </c>
      <c r="N33" s="39">
        <f>+N34+N35</f>
        <v>1885069</v>
      </c>
      <c r="O33" s="39">
        <f t="shared" ref="O33:Q33" si="56">+O34+O35</f>
        <v>3770138</v>
      </c>
      <c r="P33" s="39">
        <f t="shared" si="56"/>
        <v>879862</v>
      </c>
      <c r="Q33" s="39">
        <f t="shared" si="56"/>
        <v>4650000</v>
      </c>
      <c r="R33" s="16">
        <f t="shared" si="2"/>
        <v>1.8723227219516886E-2</v>
      </c>
      <c r="S33" s="39">
        <f>+S34+S35</f>
        <v>1885069</v>
      </c>
      <c r="T33" s="39">
        <f t="shared" ref="T33:V33" si="57">+T34+T35</f>
        <v>3770138</v>
      </c>
      <c r="U33" s="39">
        <f t="shared" si="57"/>
        <v>879862</v>
      </c>
      <c r="V33" s="39">
        <f t="shared" si="57"/>
        <v>4650000</v>
      </c>
      <c r="W33" s="39">
        <f>+W34+W35</f>
        <v>0</v>
      </c>
      <c r="X33" s="39">
        <f t="shared" ref="X33:Z33" si="58">+X34+X35</f>
        <v>0</v>
      </c>
      <c r="Y33" s="39">
        <f t="shared" si="58"/>
        <v>0</v>
      </c>
      <c r="Z33" s="39">
        <f t="shared" si="58"/>
        <v>0</v>
      </c>
      <c r="AA33" s="40"/>
    </row>
    <row r="34" spans="1:27" s="17" customFormat="1" x14ac:dyDescent="0.25">
      <c r="A34" s="18" t="s">
        <v>73</v>
      </c>
      <c r="B34" s="19" t="s">
        <v>74</v>
      </c>
      <c r="C34" s="29">
        <v>200000</v>
      </c>
      <c r="D34" s="31">
        <f t="shared" si="15"/>
        <v>400000</v>
      </c>
      <c r="E34" s="30">
        <v>125000</v>
      </c>
      <c r="F34" s="31">
        <f t="shared" si="6"/>
        <v>525000</v>
      </c>
      <c r="G34" s="23">
        <f t="shared" si="0"/>
        <v>2.6015857284440039E-3</v>
      </c>
      <c r="H34" s="24">
        <f t="shared" si="7"/>
        <v>-5097</v>
      </c>
      <c r="I34" s="24">
        <f t="shared" si="7"/>
        <v>-10194</v>
      </c>
      <c r="J34" s="24"/>
      <c r="K34" s="24"/>
      <c r="L34" s="24">
        <f t="shared" si="8"/>
        <v>10194</v>
      </c>
      <c r="M34" s="24">
        <f t="shared" si="9"/>
        <v>0</v>
      </c>
      <c r="N34" s="32">
        <v>194903</v>
      </c>
      <c r="O34" s="33">
        <f>N34/0.5</f>
        <v>389806</v>
      </c>
      <c r="P34" s="28">
        <v>135194</v>
      </c>
      <c r="Q34" s="26">
        <f>+P34+O34</f>
        <v>525000</v>
      </c>
      <c r="R34" s="27">
        <f t="shared" si="2"/>
        <v>2.113912750590616E-3</v>
      </c>
      <c r="S34" s="32">
        <f>+N34+W34</f>
        <v>194903</v>
      </c>
      <c r="T34" s="33">
        <f>S34/0.5</f>
        <v>389806</v>
      </c>
      <c r="U34" s="28">
        <f>+P34+Y34</f>
        <v>135194</v>
      </c>
      <c r="V34" s="26">
        <f>+U34+T34</f>
        <v>525000</v>
      </c>
      <c r="W34" s="32">
        <v>0</v>
      </c>
      <c r="X34" s="33">
        <f>W34/0.5</f>
        <v>0</v>
      </c>
      <c r="Y34" s="28">
        <v>0</v>
      </c>
      <c r="Z34" s="26">
        <f>+Y34+X34</f>
        <v>0</v>
      </c>
    </row>
    <row r="35" spans="1:27" s="17" customFormat="1" x14ac:dyDescent="0.25">
      <c r="A35" s="18" t="s">
        <v>75</v>
      </c>
      <c r="B35" s="19" t="s">
        <v>76</v>
      </c>
      <c r="C35" s="29">
        <v>1000000</v>
      </c>
      <c r="D35" s="31">
        <f t="shared" si="15"/>
        <v>2000000</v>
      </c>
      <c r="E35" s="30">
        <v>925000</v>
      </c>
      <c r="F35" s="31">
        <f t="shared" si="6"/>
        <v>2925000</v>
      </c>
      <c r="G35" s="23">
        <f t="shared" si="0"/>
        <v>1.4494549058473737E-2</v>
      </c>
      <c r="H35" s="24">
        <f t="shared" si="7"/>
        <v>690166</v>
      </c>
      <c r="I35" s="24">
        <f t="shared" si="7"/>
        <v>1380332</v>
      </c>
      <c r="J35" s="24"/>
      <c r="K35" s="24"/>
      <c r="L35" s="24">
        <f t="shared" si="8"/>
        <v>-180332</v>
      </c>
      <c r="M35" s="24">
        <f t="shared" si="9"/>
        <v>1200000</v>
      </c>
      <c r="N35" s="32">
        <v>1690166</v>
      </c>
      <c r="O35" s="33">
        <f>N35/0.5</f>
        <v>3380332</v>
      </c>
      <c r="P35" s="28">
        <v>744668</v>
      </c>
      <c r="Q35" s="26">
        <f>+P35+O35</f>
        <v>4125000</v>
      </c>
      <c r="R35" s="27">
        <f t="shared" si="2"/>
        <v>1.6609314468926269E-2</v>
      </c>
      <c r="S35" s="32">
        <f>+N35+W35</f>
        <v>1690166</v>
      </c>
      <c r="T35" s="33">
        <f>S35/0.5</f>
        <v>3380332</v>
      </c>
      <c r="U35" s="28">
        <f>+P35+Y35</f>
        <v>744668</v>
      </c>
      <c r="V35" s="26">
        <f>+U35+T35</f>
        <v>4125000</v>
      </c>
      <c r="W35" s="32">
        <v>0</v>
      </c>
      <c r="X35" s="33">
        <f>W35/0.5</f>
        <v>0</v>
      </c>
      <c r="Y35" s="28">
        <v>0</v>
      </c>
      <c r="Z35" s="26">
        <f>+Y35+X35</f>
        <v>0</v>
      </c>
    </row>
    <row r="36" spans="1:27" s="17" customFormat="1" ht="25.5" x14ac:dyDescent="0.25">
      <c r="A36" s="9">
        <v>13</v>
      </c>
      <c r="B36" s="10" t="s">
        <v>77</v>
      </c>
      <c r="C36" s="48">
        <v>2000000</v>
      </c>
      <c r="D36" s="49">
        <f t="shared" si="15"/>
        <v>4000000</v>
      </c>
      <c r="E36" s="49">
        <v>1860000</v>
      </c>
      <c r="F36" s="49">
        <f t="shared" si="6"/>
        <v>5860000</v>
      </c>
      <c r="G36" s="13">
        <f t="shared" si="0"/>
        <v>2.9038652130822597E-2</v>
      </c>
      <c r="H36" s="35">
        <f t="shared" si="7"/>
        <v>907546</v>
      </c>
      <c r="I36" s="35">
        <f t="shared" si="7"/>
        <v>1815092</v>
      </c>
      <c r="J36" s="35"/>
      <c r="K36" s="35"/>
      <c r="L36" s="35">
        <f t="shared" si="8"/>
        <v>-965092</v>
      </c>
      <c r="M36" s="35">
        <f t="shared" si="9"/>
        <v>850000</v>
      </c>
      <c r="N36" s="36">
        <v>2907546</v>
      </c>
      <c r="O36" s="37">
        <f>N36/0.5</f>
        <v>5815092</v>
      </c>
      <c r="P36" s="38">
        <v>894908</v>
      </c>
      <c r="Q36" s="15">
        <f>+P36+O36</f>
        <v>6710000</v>
      </c>
      <c r="R36" s="16">
        <f t="shared" si="2"/>
        <v>2.7017818202786731E-2</v>
      </c>
      <c r="S36" s="36">
        <f>+N36+W36</f>
        <v>2907546</v>
      </c>
      <c r="T36" s="37">
        <f>S36/0.5</f>
        <v>5815092</v>
      </c>
      <c r="U36" s="38">
        <f>+P36+Y36</f>
        <v>894908</v>
      </c>
      <c r="V36" s="15">
        <f>+U36+T36</f>
        <v>6710000</v>
      </c>
      <c r="W36" s="36">
        <v>0</v>
      </c>
      <c r="X36" s="37">
        <f>W36/0.5</f>
        <v>0</v>
      </c>
      <c r="Y36" s="38">
        <v>0</v>
      </c>
      <c r="Z36" s="15">
        <f>+Y36+X36</f>
        <v>0</v>
      </c>
    </row>
    <row r="37" spans="1:27" s="17" customFormat="1" x14ac:dyDescent="0.25">
      <c r="A37" s="9">
        <v>16</v>
      </c>
      <c r="B37" s="10" t="s">
        <v>78</v>
      </c>
      <c r="C37" s="48">
        <f>+C38+C39</f>
        <v>2050000</v>
      </c>
      <c r="D37" s="49">
        <f t="shared" si="15"/>
        <v>4100000</v>
      </c>
      <c r="E37" s="49">
        <f>+E38+E39</f>
        <v>1900000</v>
      </c>
      <c r="F37" s="49">
        <f t="shared" si="6"/>
        <v>6000000</v>
      </c>
      <c r="G37" s="13">
        <f t="shared" si="0"/>
        <v>2.973240832507433E-2</v>
      </c>
      <c r="H37" s="35">
        <f t="shared" si="7"/>
        <v>625835</v>
      </c>
      <c r="I37" s="35">
        <f t="shared" si="7"/>
        <v>1251670</v>
      </c>
      <c r="J37" s="35"/>
      <c r="K37" s="35"/>
      <c r="L37" s="35">
        <f t="shared" si="8"/>
        <v>-41670</v>
      </c>
      <c r="M37" s="35">
        <f t="shared" si="9"/>
        <v>1210000</v>
      </c>
      <c r="N37" s="39">
        <f>+N38+N39</f>
        <v>2675835</v>
      </c>
      <c r="O37" s="39">
        <f t="shared" ref="O37:Q37" si="59">+O38+O39</f>
        <v>5351670</v>
      </c>
      <c r="P37" s="39">
        <f t="shared" si="59"/>
        <v>1858330</v>
      </c>
      <c r="Q37" s="39">
        <f t="shared" si="59"/>
        <v>7210000</v>
      </c>
      <c r="R37" s="16">
        <f t="shared" si="2"/>
        <v>2.9031068441444461E-2</v>
      </c>
      <c r="S37" s="39">
        <f>+S38+S39</f>
        <v>2675835</v>
      </c>
      <c r="T37" s="39">
        <f t="shared" ref="T37:V37" si="60">+T38+T39</f>
        <v>5351670</v>
      </c>
      <c r="U37" s="39">
        <f t="shared" si="60"/>
        <v>1858330</v>
      </c>
      <c r="V37" s="39">
        <f t="shared" si="60"/>
        <v>7210000</v>
      </c>
      <c r="W37" s="39">
        <f>+W38+W39</f>
        <v>0</v>
      </c>
      <c r="X37" s="39">
        <f t="shared" ref="X37:Z37" si="61">+X38+X39</f>
        <v>0</v>
      </c>
      <c r="Y37" s="39">
        <f t="shared" si="61"/>
        <v>0</v>
      </c>
      <c r="Z37" s="39">
        <f t="shared" si="61"/>
        <v>0</v>
      </c>
    </row>
    <row r="38" spans="1:27" s="17" customFormat="1" x14ac:dyDescent="0.25">
      <c r="A38" s="18" t="s">
        <v>79</v>
      </c>
      <c r="B38" s="19" t="s">
        <v>80</v>
      </c>
      <c r="C38" s="29">
        <v>1050000</v>
      </c>
      <c r="D38" s="31">
        <f t="shared" si="15"/>
        <v>2100000</v>
      </c>
      <c r="E38" s="29">
        <v>900000</v>
      </c>
      <c r="F38" s="31">
        <f t="shared" si="6"/>
        <v>3000000</v>
      </c>
      <c r="G38" s="23">
        <f t="shared" si="0"/>
        <v>1.4866204162537165E-2</v>
      </c>
      <c r="H38" s="24">
        <f t="shared" si="7"/>
        <v>265264</v>
      </c>
      <c r="I38" s="24">
        <f t="shared" si="7"/>
        <v>530528</v>
      </c>
      <c r="J38" s="24"/>
      <c r="K38" s="24"/>
      <c r="L38" s="24">
        <f t="shared" si="8"/>
        <v>-30528</v>
      </c>
      <c r="M38" s="24">
        <f t="shared" si="9"/>
        <v>500000</v>
      </c>
      <c r="N38" s="32">
        <f>1115264+200000</f>
        <v>1315264</v>
      </c>
      <c r="O38" s="33">
        <f>N38/0.5</f>
        <v>2630528</v>
      </c>
      <c r="P38" s="28">
        <f>1169472-300000</f>
        <v>869472</v>
      </c>
      <c r="Q38" s="26">
        <f>+P38+O38</f>
        <v>3500000</v>
      </c>
      <c r="R38" s="27">
        <f t="shared" si="2"/>
        <v>1.4092751670604108E-2</v>
      </c>
      <c r="S38" s="32">
        <f>+N38+W38</f>
        <v>1315264</v>
      </c>
      <c r="T38" s="33">
        <f>S38/0.5</f>
        <v>2630528</v>
      </c>
      <c r="U38" s="28">
        <f>+P38+Y38</f>
        <v>869472</v>
      </c>
      <c r="V38" s="26">
        <f>+U38+T38</f>
        <v>3500000</v>
      </c>
      <c r="W38" s="32">
        <v>0</v>
      </c>
      <c r="X38" s="33">
        <f>W38/0.5</f>
        <v>0</v>
      </c>
      <c r="Y38" s="28">
        <f>+X38+W38</f>
        <v>0</v>
      </c>
      <c r="Z38" s="26">
        <f>+Y38+X38</f>
        <v>0</v>
      </c>
    </row>
    <row r="39" spans="1:27" s="17" customFormat="1" x14ac:dyDescent="0.25">
      <c r="A39" s="18" t="s">
        <v>81</v>
      </c>
      <c r="B39" s="19" t="s">
        <v>82</v>
      </c>
      <c r="C39" s="29">
        <v>1000000</v>
      </c>
      <c r="D39" s="31">
        <f t="shared" si="15"/>
        <v>2000000</v>
      </c>
      <c r="E39" s="29">
        <v>1000000</v>
      </c>
      <c r="F39" s="31">
        <f t="shared" si="6"/>
        <v>3000000</v>
      </c>
      <c r="G39" s="23">
        <f t="shared" si="0"/>
        <v>1.4866204162537165E-2</v>
      </c>
      <c r="H39" s="24">
        <f t="shared" si="7"/>
        <v>360571</v>
      </c>
      <c r="I39" s="24">
        <f t="shared" si="7"/>
        <v>721142</v>
      </c>
      <c r="J39" s="24"/>
      <c r="K39" s="24"/>
      <c r="L39" s="24">
        <f t="shared" si="8"/>
        <v>-11142</v>
      </c>
      <c r="M39" s="24">
        <f t="shared" si="9"/>
        <v>710000</v>
      </c>
      <c r="N39" s="32">
        <v>1360571</v>
      </c>
      <c r="O39" s="33">
        <f>N39/0.5</f>
        <v>2721142</v>
      </c>
      <c r="P39" s="28">
        <f>1178858-190000</f>
        <v>988858</v>
      </c>
      <c r="Q39" s="26">
        <f>+P39+O39</f>
        <v>3710000</v>
      </c>
      <c r="R39" s="27">
        <f t="shared" si="2"/>
        <v>1.4938316770840353E-2</v>
      </c>
      <c r="S39" s="32">
        <f>+N39+W39</f>
        <v>1360571</v>
      </c>
      <c r="T39" s="33">
        <f>S39/0.5</f>
        <v>2721142</v>
      </c>
      <c r="U39" s="28">
        <f>+P39+Y39</f>
        <v>988858</v>
      </c>
      <c r="V39" s="26">
        <f>+U39+T39</f>
        <v>3710000</v>
      </c>
      <c r="W39" s="32">
        <v>0</v>
      </c>
      <c r="X39" s="33">
        <f>W39/0.5</f>
        <v>0</v>
      </c>
      <c r="Y39" s="28">
        <f>+X39+W39</f>
        <v>0</v>
      </c>
      <c r="Z39" s="26">
        <f>+Y39+X39</f>
        <v>0</v>
      </c>
    </row>
    <row r="40" spans="1:27" s="17" customFormat="1" x14ac:dyDescent="0.25">
      <c r="A40" s="9">
        <v>19</v>
      </c>
      <c r="B40" s="10" t="s">
        <v>83</v>
      </c>
      <c r="C40" s="48">
        <f>+C41+C42+C43+C44</f>
        <v>5225000</v>
      </c>
      <c r="D40" s="49">
        <f t="shared" si="15"/>
        <v>10450000</v>
      </c>
      <c r="E40" s="49">
        <f>+E41+E42+E43+E44</f>
        <v>4780000</v>
      </c>
      <c r="F40" s="49">
        <f t="shared" si="6"/>
        <v>15230000</v>
      </c>
      <c r="G40" s="13">
        <f t="shared" si="0"/>
        <v>7.5470763131813681E-2</v>
      </c>
      <c r="H40" s="35">
        <f t="shared" si="7"/>
        <v>2342848</v>
      </c>
      <c r="I40" s="35">
        <f t="shared" si="7"/>
        <v>4685696</v>
      </c>
      <c r="J40" s="35"/>
      <c r="K40" s="35"/>
      <c r="L40" s="35">
        <f t="shared" si="8"/>
        <v>614304</v>
      </c>
      <c r="M40" s="35">
        <f t="shared" si="9"/>
        <v>5300000</v>
      </c>
      <c r="N40" s="39">
        <f>+N41+N42+N43+N44</f>
        <v>7567848</v>
      </c>
      <c r="O40" s="39">
        <f>+O41+O42+O43+O44</f>
        <v>15135696</v>
      </c>
      <c r="P40" s="39">
        <f>+P41+P42+P43+P44</f>
        <v>5394304</v>
      </c>
      <c r="Q40" s="39">
        <f>+Q41+Q42+Q43+Q44</f>
        <v>20530000</v>
      </c>
      <c r="R40" s="16">
        <f t="shared" si="2"/>
        <v>8.2664054799286374E-2</v>
      </c>
      <c r="S40" s="39">
        <f>+S41+S42+S43+S44</f>
        <v>7567848</v>
      </c>
      <c r="T40" s="39">
        <f>+T41+T42+T43+T44</f>
        <v>15135696</v>
      </c>
      <c r="U40" s="39">
        <f>+U41+U42+U43+U44</f>
        <v>5394304</v>
      </c>
      <c r="V40" s="39">
        <f>+V41+V42+V43+V44</f>
        <v>20530000</v>
      </c>
      <c r="W40" s="39">
        <f t="shared" ref="W40:Z40" si="62">+W41+W42+W43+W44</f>
        <v>0</v>
      </c>
      <c r="X40" s="39">
        <f t="shared" si="62"/>
        <v>0</v>
      </c>
      <c r="Y40" s="39">
        <f t="shared" si="62"/>
        <v>0</v>
      </c>
      <c r="Z40" s="39">
        <f t="shared" si="62"/>
        <v>0</v>
      </c>
    </row>
    <row r="41" spans="1:27" s="17" customFormat="1" x14ac:dyDescent="0.25">
      <c r="A41" s="18" t="s">
        <v>84</v>
      </c>
      <c r="B41" s="19" t="s">
        <v>85</v>
      </c>
      <c r="C41" s="29">
        <v>13300</v>
      </c>
      <c r="D41" s="31">
        <f t="shared" si="15"/>
        <v>26600</v>
      </c>
      <c r="E41" s="30">
        <v>11400</v>
      </c>
      <c r="F41" s="31">
        <f t="shared" si="6"/>
        <v>38000</v>
      </c>
      <c r="G41" s="23">
        <f t="shared" si="0"/>
        <v>1.8830525272547075E-4</v>
      </c>
      <c r="H41" s="24">
        <f t="shared" si="7"/>
        <v>5700</v>
      </c>
      <c r="I41" s="24">
        <f t="shared" si="7"/>
        <v>11400</v>
      </c>
      <c r="J41" s="24"/>
      <c r="K41" s="24"/>
      <c r="L41" s="24">
        <f t="shared" si="8"/>
        <v>38600</v>
      </c>
      <c r="M41" s="24">
        <f t="shared" si="9"/>
        <v>50000</v>
      </c>
      <c r="N41" s="32">
        <v>19000</v>
      </c>
      <c r="O41" s="33">
        <f>N41/0.5</f>
        <v>38000</v>
      </c>
      <c r="P41" s="28">
        <v>50000</v>
      </c>
      <c r="Q41" s="26">
        <f>+P41+O41</f>
        <v>88000</v>
      </c>
      <c r="R41" s="27">
        <f t="shared" si="2"/>
        <v>3.543320420037604E-4</v>
      </c>
      <c r="S41" s="32">
        <f>+N41+W41</f>
        <v>19000</v>
      </c>
      <c r="T41" s="33">
        <f>S41/0.5</f>
        <v>38000</v>
      </c>
      <c r="U41" s="28">
        <f>+P41+Y41</f>
        <v>50000</v>
      </c>
      <c r="V41" s="26">
        <f>+U41+T41</f>
        <v>88000</v>
      </c>
      <c r="W41" s="32">
        <v>0</v>
      </c>
      <c r="X41" s="33">
        <f>W41/0.5</f>
        <v>0</v>
      </c>
      <c r="Y41" s="28">
        <v>0</v>
      </c>
      <c r="Z41" s="26">
        <f>+Y41+X41</f>
        <v>0</v>
      </c>
    </row>
    <row r="42" spans="1:27" s="17" customFormat="1" x14ac:dyDescent="0.25">
      <c r="A42" s="18" t="s">
        <v>86</v>
      </c>
      <c r="B42" s="19" t="s">
        <v>87</v>
      </c>
      <c r="C42" s="29">
        <v>4396700</v>
      </c>
      <c r="D42" s="31">
        <f t="shared" si="15"/>
        <v>8793400</v>
      </c>
      <c r="E42" s="30">
        <v>3963600</v>
      </c>
      <c r="F42" s="31">
        <f t="shared" si="6"/>
        <v>12757000</v>
      </c>
      <c r="G42" s="23">
        <f t="shared" si="0"/>
        <v>6.3216055500495541E-2</v>
      </c>
      <c r="H42" s="24">
        <f t="shared" si="7"/>
        <v>2309648</v>
      </c>
      <c r="I42" s="24">
        <f t="shared" si="7"/>
        <v>4619296</v>
      </c>
      <c r="J42" s="24"/>
      <c r="K42" s="24"/>
      <c r="L42" s="24">
        <f t="shared" si="8"/>
        <v>-1169296</v>
      </c>
      <c r="M42" s="24">
        <f t="shared" si="9"/>
        <v>3450000</v>
      </c>
      <c r="N42" s="32">
        <v>6706348</v>
      </c>
      <c r="O42" s="33">
        <f t="shared" ref="O42:O44" si="63">N42/0.5</f>
        <v>13412696</v>
      </c>
      <c r="P42" s="28">
        <f>3044304-250000</f>
        <v>2794304</v>
      </c>
      <c r="Q42" s="26">
        <f t="shared" ref="Q42:Q44" si="64">+P42+O42</f>
        <v>16207000</v>
      </c>
      <c r="R42" s="27">
        <f t="shared" si="2"/>
        <v>6.5257493235851644E-2</v>
      </c>
      <c r="S42" s="32">
        <f t="shared" ref="S42:S44" si="65">+N42+W42</f>
        <v>6706348</v>
      </c>
      <c r="T42" s="33">
        <f t="shared" ref="T42:T44" si="66">S42/0.5</f>
        <v>13412696</v>
      </c>
      <c r="U42" s="28">
        <f t="shared" ref="U42:U44" si="67">+P42+Y42</f>
        <v>2794304</v>
      </c>
      <c r="V42" s="26">
        <f t="shared" ref="V42:V44" si="68">+U42+T42</f>
        <v>16207000</v>
      </c>
      <c r="W42" s="32">
        <v>0</v>
      </c>
      <c r="X42" s="33">
        <f t="shared" ref="X42:X44" si="69">W42/0.5</f>
        <v>0</v>
      </c>
      <c r="Y42" s="28">
        <v>0</v>
      </c>
      <c r="Z42" s="26">
        <f t="shared" ref="Z42:Z44" si="70">+Y42+X42</f>
        <v>0</v>
      </c>
    </row>
    <row r="43" spans="1:27" s="17" customFormat="1" x14ac:dyDescent="0.25">
      <c r="A43" s="18" t="s">
        <v>88</v>
      </c>
      <c r="B43" s="19" t="s">
        <v>89</v>
      </c>
      <c r="C43" s="29">
        <v>75000</v>
      </c>
      <c r="D43" s="31">
        <f t="shared" si="15"/>
        <v>150000</v>
      </c>
      <c r="E43" s="30">
        <v>50000</v>
      </c>
      <c r="F43" s="31">
        <f t="shared" si="6"/>
        <v>200000</v>
      </c>
      <c r="G43" s="23">
        <f t="shared" si="0"/>
        <v>9.9108027750247768E-4</v>
      </c>
      <c r="H43" s="24">
        <f t="shared" si="7"/>
        <v>25000</v>
      </c>
      <c r="I43" s="24">
        <f t="shared" si="7"/>
        <v>50000</v>
      </c>
      <c r="J43" s="24"/>
      <c r="K43" s="24"/>
      <c r="L43" s="24">
        <f t="shared" si="8"/>
        <v>150000</v>
      </c>
      <c r="M43" s="24">
        <f t="shared" si="9"/>
        <v>200000</v>
      </c>
      <c r="N43" s="32">
        <v>100000</v>
      </c>
      <c r="O43" s="33">
        <f t="shared" si="63"/>
        <v>200000</v>
      </c>
      <c r="P43" s="28">
        <v>200000</v>
      </c>
      <c r="Q43" s="26">
        <f t="shared" si="64"/>
        <v>400000</v>
      </c>
      <c r="R43" s="27">
        <f t="shared" si="2"/>
        <v>1.6106001909261837E-3</v>
      </c>
      <c r="S43" s="32">
        <f t="shared" si="65"/>
        <v>100000</v>
      </c>
      <c r="T43" s="33">
        <f t="shared" si="66"/>
        <v>200000</v>
      </c>
      <c r="U43" s="28">
        <f t="shared" si="67"/>
        <v>200000</v>
      </c>
      <c r="V43" s="26">
        <f t="shared" si="68"/>
        <v>400000</v>
      </c>
      <c r="W43" s="32">
        <v>0</v>
      </c>
      <c r="X43" s="33">
        <f t="shared" si="69"/>
        <v>0</v>
      </c>
      <c r="Y43" s="28">
        <v>0</v>
      </c>
      <c r="Z43" s="26">
        <f t="shared" si="70"/>
        <v>0</v>
      </c>
    </row>
    <row r="44" spans="1:27" s="17" customFormat="1" x14ac:dyDescent="0.25">
      <c r="A44" s="18" t="s">
        <v>90</v>
      </c>
      <c r="B44" s="19" t="s">
        <v>91</v>
      </c>
      <c r="C44" s="29">
        <v>740000</v>
      </c>
      <c r="D44" s="31">
        <f t="shared" si="15"/>
        <v>1480000</v>
      </c>
      <c r="E44" s="30">
        <v>755000</v>
      </c>
      <c r="F44" s="31">
        <f t="shared" si="6"/>
        <v>2235000</v>
      </c>
      <c r="G44" s="23">
        <f t="shared" si="0"/>
        <v>1.1075322101090189E-2</v>
      </c>
      <c r="H44" s="24">
        <f t="shared" si="7"/>
        <v>2500</v>
      </c>
      <c r="I44" s="24">
        <f t="shared" si="7"/>
        <v>5000</v>
      </c>
      <c r="J44" s="24"/>
      <c r="K44" s="24"/>
      <c r="L44" s="24">
        <f t="shared" si="8"/>
        <v>1595000</v>
      </c>
      <c r="M44" s="24">
        <f t="shared" si="9"/>
        <v>1600000</v>
      </c>
      <c r="N44" s="32">
        <v>742500</v>
      </c>
      <c r="O44" s="33">
        <f t="shared" si="63"/>
        <v>1485000</v>
      </c>
      <c r="P44" s="28">
        <v>2350000</v>
      </c>
      <c r="Q44" s="26">
        <f t="shared" si="64"/>
        <v>3835000</v>
      </c>
      <c r="R44" s="27">
        <f t="shared" si="2"/>
        <v>1.5441629330504787E-2</v>
      </c>
      <c r="S44" s="32">
        <f t="shared" si="65"/>
        <v>742500</v>
      </c>
      <c r="T44" s="33">
        <f t="shared" si="66"/>
        <v>1485000</v>
      </c>
      <c r="U44" s="28">
        <f t="shared" si="67"/>
        <v>2350000</v>
      </c>
      <c r="V44" s="26">
        <f t="shared" si="68"/>
        <v>3835000</v>
      </c>
      <c r="W44" s="32">
        <v>0</v>
      </c>
      <c r="X44" s="33">
        <f t="shared" si="69"/>
        <v>0</v>
      </c>
      <c r="Y44" s="28">
        <v>0</v>
      </c>
      <c r="Z44" s="26">
        <f t="shared" si="70"/>
        <v>0</v>
      </c>
    </row>
    <row r="45" spans="1:27" s="17" customFormat="1" ht="13.5" thickBot="1" x14ac:dyDescent="0.3">
      <c r="A45" s="9">
        <v>20</v>
      </c>
      <c r="B45" s="10" t="s">
        <v>92</v>
      </c>
      <c r="C45" s="48">
        <v>10129</v>
      </c>
      <c r="D45" s="49">
        <f t="shared" si="15"/>
        <v>20258</v>
      </c>
      <c r="E45" s="49">
        <v>239742</v>
      </c>
      <c r="F45" s="49">
        <f t="shared" si="6"/>
        <v>260000</v>
      </c>
      <c r="G45" s="13">
        <f t="shared" si="0"/>
        <v>1.2884043607532211E-3</v>
      </c>
      <c r="H45" s="35">
        <f t="shared" si="7"/>
        <v>20860</v>
      </c>
      <c r="I45" s="35">
        <f t="shared" si="7"/>
        <v>41720</v>
      </c>
      <c r="J45" s="35"/>
      <c r="K45" s="35"/>
      <c r="L45" s="35">
        <f t="shared" si="8"/>
        <v>-39740</v>
      </c>
      <c r="M45" s="35">
        <f t="shared" si="9"/>
        <v>1980</v>
      </c>
      <c r="N45" s="50">
        <v>30989</v>
      </c>
      <c r="O45" s="37">
        <f>N45/0.5</f>
        <v>61978</v>
      </c>
      <c r="P45" s="37">
        <v>200002</v>
      </c>
      <c r="Q45" s="15">
        <f>+P45+O45</f>
        <v>261980</v>
      </c>
      <c r="R45" s="16">
        <f t="shared" si="2"/>
        <v>1.054862595047104E-3</v>
      </c>
      <c r="S45" s="50">
        <f>+N45+W45</f>
        <v>30989</v>
      </c>
      <c r="T45" s="37">
        <f>S45/0.5</f>
        <v>61978</v>
      </c>
      <c r="U45" s="37">
        <f>+P45+Y45</f>
        <v>345381</v>
      </c>
      <c r="V45" s="15">
        <f>+U45+T45</f>
        <v>407359</v>
      </c>
      <c r="W45" s="50">
        <v>0</v>
      </c>
      <c r="X45" s="37">
        <f>W45/0.5</f>
        <v>0</v>
      </c>
      <c r="Y45" s="37">
        <v>145379</v>
      </c>
      <c r="Z45" s="15">
        <f>+Y45+X45</f>
        <v>145379</v>
      </c>
      <c r="AA45" s="51"/>
    </row>
    <row r="46" spans="1:27" s="17" customFormat="1" ht="13.5" thickBot="1" x14ac:dyDescent="0.3">
      <c r="A46" s="9"/>
      <c r="B46" s="52"/>
      <c r="C46" s="53"/>
      <c r="D46" s="54"/>
      <c r="E46" s="54"/>
      <c r="F46" s="54"/>
      <c r="G46" s="55"/>
      <c r="H46" s="56"/>
      <c r="I46" s="56"/>
      <c r="J46" s="56"/>
      <c r="K46" s="56"/>
      <c r="L46" s="56"/>
      <c r="M46" s="56"/>
      <c r="N46" s="50"/>
      <c r="O46" s="57"/>
      <c r="P46" s="57"/>
      <c r="Q46" s="58"/>
      <c r="R46" s="59"/>
      <c r="S46" s="50">
        <f>+W46</f>
        <v>0</v>
      </c>
      <c r="T46" s="57">
        <f>S46/0.5</f>
        <v>0</v>
      </c>
      <c r="U46" s="57">
        <f>+Y46</f>
        <v>0</v>
      </c>
      <c r="V46" s="58">
        <f>+U46+T46</f>
        <v>0</v>
      </c>
      <c r="W46" s="50">
        <v>0</v>
      </c>
      <c r="X46" s="57">
        <f>W46/0.5</f>
        <v>0</v>
      </c>
      <c r="Y46" s="57">
        <v>0</v>
      </c>
      <c r="Z46" s="58">
        <f>+Y46+X46</f>
        <v>0</v>
      </c>
    </row>
    <row r="47" spans="1:27" ht="13.5" thickBot="1" x14ac:dyDescent="0.25">
      <c r="A47" s="60"/>
      <c r="B47" s="61" t="s">
        <v>93</v>
      </c>
      <c r="C47" s="62">
        <v>70010129</v>
      </c>
      <c r="D47" s="63">
        <f t="shared" si="15"/>
        <v>140020258</v>
      </c>
      <c r="E47" s="63">
        <v>61779742</v>
      </c>
      <c r="F47" s="64">
        <f t="shared" si="6"/>
        <v>201800000</v>
      </c>
      <c r="G47" s="65">
        <f>F47/F$47</f>
        <v>1</v>
      </c>
      <c r="H47" s="66">
        <f t="shared" ref="H47:M47" si="71">+H45+H40+H37+H36+H33+H32+H27+H23+H22+H11+H10+H5</f>
        <v>20249542</v>
      </c>
      <c r="I47" s="66">
        <f t="shared" si="71"/>
        <v>40499084</v>
      </c>
      <c r="J47" s="66">
        <f t="shared" si="71"/>
        <v>6055537</v>
      </c>
      <c r="K47" s="66">
        <f t="shared" si="71"/>
        <v>6055537</v>
      </c>
      <c r="L47" s="66">
        <f t="shared" si="8"/>
        <v>0</v>
      </c>
      <c r="M47" s="66">
        <f t="shared" si="71"/>
        <v>46554621</v>
      </c>
      <c r="N47" s="66">
        <f>+N45+N40+N37+N36+N33+N32+N27+N23+N22+N11+N10+N5</f>
        <v>90259671</v>
      </c>
      <c r="O47" s="66">
        <f>+O45+O40+O37+O36+O33+O32+O27+O23+O22+O11+O10+O5</f>
        <v>180519342</v>
      </c>
      <c r="P47" s="66">
        <f t="shared" ref="P47:Q47" si="72">+P45+P40+P37+P36+P33+P32+P27+P23+P22+P11+P10+P5</f>
        <v>61779742</v>
      </c>
      <c r="Q47" s="66">
        <f t="shared" si="72"/>
        <v>248354621</v>
      </c>
      <c r="R47" s="67">
        <f>Q47/Q$47</f>
        <v>1</v>
      </c>
      <c r="S47" s="66">
        <f>+S45+S40+S37+S36+S33+S32+S27+S23+S22+S11+S10+S5+S46</f>
        <v>90259671</v>
      </c>
      <c r="T47" s="66">
        <f t="shared" ref="T47:Z47" si="73">+T45+T40+T37+T36+T33+T32+T27+T23+T22+T11+T10+T5+T46</f>
        <v>180519342</v>
      </c>
      <c r="U47" s="66">
        <f t="shared" si="73"/>
        <v>61779742</v>
      </c>
      <c r="V47" s="66">
        <f>+V45+V40+V37+V36+V33+V32+V27+V23+V22+V11+V10+V5+V46</f>
        <v>248354621</v>
      </c>
      <c r="W47" s="66">
        <f t="shared" si="73"/>
        <v>0</v>
      </c>
      <c r="X47" s="66">
        <f t="shared" si="73"/>
        <v>0</v>
      </c>
      <c r="Y47" s="66">
        <f t="shared" si="73"/>
        <v>0</v>
      </c>
      <c r="Z47" s="66">
        <f t="shared" si="73"/>
        <v>0</v>
      </c>
    </row>
    <row r="48" spans="1:27" hidden="1" x14ac:dyDescent="0.2">
      <c r="C48" s="68"/>
      <c r="D48" s="68"/>
      <c r="E48" s="68"/>
      <c r="H48" s="69">
        <f>20248553+989</f>
        <v>20249542</v>
      </c>
      <c r="J48" s="69">
        <v>6055537</v>
      </c>
      <c r="N48" s="69">
        <v>90259671</v>
      </c>
      <c r="P48" s="70" t="s">
        <v>94</v>
      </c>
      <c r="Q48" s="70"/>
    </row>
    <row r="49" spans="2:26" ht="32.25" customHeight="1" x14ac:dyDescent="0.2">
      <c r="B49" s="68"/>
      <c r="C49" s="68"/>
      <c r="D49" s="68"/>
      <c r="E49" s="68"/>
      <c r="F49" s="68"/>
      <c r="G49" s="68"/>
    </row>
    <row r="50" spans="2:26" x14ac:dyDescent="0.2">
      <c r="H50" s="71"/>
      <c r="I50" s="69"/>
      <c r="J50" s="69"/>
      <c r="K50" s="69"/>
      <c r="M50" s="69"/>
      <c r="N50" s="69"/>
      <c r="O50" s="69"/>
      <c r="P50" s="69"/>
      <c r="Q50" s="69"/>
      <c r="R50" s="72"/>
      <c r="V50" s="73"/>
    </row>
    <row r="51" spans="2:26" hidden="1" x14ac:dyDescent="0.2">
      <c r="B51" s="68"/>
      <c r="C51" s="68"/>
      <c r="D51" s="68"/>
      <c r="E51" s="68"/>
      <c r="F51" s="68"/>
      <c r="G51" s="68"/>
    </row>
    <row r="52" spans="2:26" hidden="1" x14ac:dyDescent="0.2">
      <c r="K52" s="73"/>
      <c r="M52" s="73"/>
      <c r="Q52" s="73"/>
    </row>
    <row r="53" spans="2:26" hidden="1" x14ac:dyDescent="0.2">
      <c r="H53" s="69"/>
    </row>
    <row r="54" spans="2:26" hidden="1" x14ac:dyDescent="0.2">
      <c r="M54" s="73"/>
      <c r="O54" s="73"/>
      <c r="Q54" s="73"/>
    </row>
    <row r="55" spans="2:26" hidden="1" x14ac:dyDescent="0.2">
      <c r="M55" s="73"/>
    </row>
    <row r="56" spans="2:26" ht="12.75" hidden="1" customHeight="1" x14ac:dyDescent="0.2"/>
    <row r="58" spans="2:26" x14ac:dyDescent="0.2">
      <c r="V58" s="73"/>
      <c r="Z58" s="73"/>
    </row>
    <row r="60" spans="2:26" x14ac:dyDescent="0.2">
      <c r="Y60" s="74"/>
    </row>
    <row r="62" spans="2:26" x14ac:dyDescent="0.2">
      <c r="Y62" s="73"/>
    </row>
    <row r="64" spans="2:26" x14ac:dyDescent="0.2">
      <c r="Y64" s="74"/>
    </row>
    <row r="65" spans="25:25" x14ac:dyDescent="0.2">
      <c r="Y65" s="73"/>
    </row>
  </sheetData>
  <sheetProtection algorithmName="SHA-512" hashValue="Qldtn0Pj37to4ZD1hg5GFvzUcUzLsCSkQCPCmfMuw4rLGKi2ekxuB5e5hG8sThzbMOe9JJOefwP2woa0itBLKg==" saltValue="ufNAWmW0/elWAJd/+KTZ7g==" spinCount="100000" sheet="1" objects="1" scenarios="1" selectLockedCells="1" selectUnlockedCells="1"/>
  <mergeCells count="24">
    <mergeCell ref="Q3:Q4"/>
    <mergeCell ref="R3:R4"/>
    <mergeCell ref="S3:T3"/>
    <mergeCell ref="A3:A4"/>
    <mergeCell ref="B3:B4"/>
    <mergeCell ref="C3:D3"/>
    <mergeCell ref="E3:E4"/>
    <mergeCell ref="F3:F4"/>
    <mergeCell ref="U3:U4"/>
    <mergeCell ref="V3:V4"/>
    <mergeCell ref="W3:X3"/>
    <mergeCell ref="P3:P4"/>
    <mergeCell ref="C2:G2"/>
    <mergeCell ref="H2:R2"/>
    <mergeCell ref="S2:V2"/>
    <mergeCell ref="W2:Z2"/>
    <mergeCell ref="G3:G4"/>
    <mergeCell ref="H3:I3"/>
    <mergeCell ref="J3:K3"/>
    <mergeCell ref="L3:L4"/>
    <mergeCell ref="M3:M4"/>
    <mergeCell ref="N3:O3"/>
    <mergeCell ref="Y3:Y4"/>
    <mergeCell ref="Z3:Z4"/>
  </mergeCells>
  <pageMargins left="0.7" right="0.7" top="0.75" bottom="0.75" header="0.3" footer="0.3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FINANCIERO SIMPLIFICADO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Pascual Pérez</dc:creator>
  <cp:lastModifiedBy>Eduardo Pascual Pérez</cp:lastModifiedBy>
  <dcterms:created xsi:type="dcterms:W3CDTF">2022-11-11T12:04:38Z</dcterms:created>
  <dcterms:modified xsi:type="dcterms:W3CDTF">2022-12-01T11:36:06Z</dcterms:modified>
</cp:coreProperties>
</file>